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9540" windowHeight="8955"/>
  </bookViews>
  <sheets>
    <sheet name="Kalkulator" sheetId="2" r:id="rId1"/>
    <sheet name="Ceny" sheetId="1" r:id="rId2"/>
    <sheet name="Opisy" sheetId="3" state="hidden" r:id="rId3"/>
  </sheets>
  <definedNames>
    <definedName name="_xlnm._FilterDatabase" localSheetId="0" hidden="1">Kalkulator!#REF!</definedName>
    <definedName name="budynki">Ceny!$H$44:$H$53</definedName>
    <definedName name="cena">Ceny!$F$36</definedName>
    <definedName name="ceny">Ceny!$E$38:$E$40</definedName>
    <definedName name="ceny_wełny">Ceny!$M$6:$S$18</definedName>
    <definedName name="data">Ceny!$E$34:$E$34</definedName>
    <definedName name="dopłaty_g">Ceny!$A$42:$A$46</definedName>
    <definedName name="dopłaty_tf">Ceny!$A$36:$A$39</definedName>
    <definedName name="farby">Ceny!$A$5:$A$7</definedName>
    <definedName name="grunty">Ceny!$A$8:$A$9</definedName>
    <definedName name="grupy">Ceny!$A$36:$A$38</definedName>
    <definedName name="izolacja">Ceny!$M$6:$M$18</definedName>
    <definedName name="Język">Ceny!$I$55:$I$58</definedName>
    <definedName name="Języki">Ceny!$I$55:$J$58</definedName>
    <definedName name="kleje_1">Ceny!$A$10:$A$12</definedName>
    <definedName name="kleje_2">Ceny!$A$10:$A$12</definedName>
    <definedName name="_xlnm.Print_Area" localSheetId="0">Kalkulator!$A$7:$I$63</definedName>
    <definedName name="opisy">Opisy!$A$1:$E$149</definedName>
    <definedName name="produkty">Ceny!$A$5:$I$32</definedName>
    <definedName name="przegroda">Kalkulator!$L$12</definedName>
    <definedName name="rodzaje_wełny">Ceny!$A$50:$A$55</definedName>
    <definedName name="rodzaje_wełny_lam">Ceny!$A$58:$A$60</definedName>
    <definedName name="siatki">Ceny!$A$31:$A$32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Ceny!$H$44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  <definedName name="ściany">Ceny!$H$35:$H$38</definedName>
    <definedName name="tab_rodzaje_wełny">Ceny!$A$50:$C$55</definedName>
    <definedName name="tabela_budynki">Ceny!$H$44:$L$53</definedName>
    <definedName name="tabela_dopłaty_g">Ceny!$A$42:$B$46</definedName>
    <definedName name="tabela_dopłaty_tf">Ceny!$A$36:$C$39</definedName>
    <definedName name="tabela_ściany">Ceny!$H$35:$J$38</definedName>
    <definedName name="tynk">Kalkulator!$M$17</definedName>
    <definedName name="tynki">Ceny!$A$13:$A$30</definedName>
    <definedName name="wełna">Kalkulator!$L$14</definedName>
    <definedName name="wysokość">Kalkulator!$L$11</definedName>
  </definedNames>
  <calcPr calcId="125725"/>
</workbook>
</file>

<file path=xl/calcChain.xml><?xml version="1.0" encoding="utf-8"?>
<calcChain xmlns="http://schemas.openxmlformats.org/spreadsheetml/2006/main">
  <c r="B35" i="1"/>
  <c r="B38" s="1"/>
  <c r="F36"/>
  <c r="F37"/>
  <c r="M2" i="2" l="1"/>
  <c r="M1"/>
  <c r="B175" s="1"/>
  <c r="A3" i="1" s="1"/>
  <c r="B68" i="2" l="1"/>
  <c r="B205"/>
  <c r="C3" i="1" s="1"/>
  <c r="N2" i="2"/>
  <c r="E1" i="1" s="1"/>
  <c r="H63" i="2"/>
  <c r="H45"/>
  <c r="H31"/>
  <c r="H47"/>
  <c r="H33"/>
  <c r="H29"/>
  <c r="B214"/>
  <c r="B210"/>
  <c r="B206"/>
  <c r="B66"/>
  <c r="B213"/>
  <c r="B211"/>
  <c r="G26" s="1"/>
  <c r="B209"/>
  <c r="G19" s="1"/>
  <c r="B207"/>
  <c r="B204"/>
  <c r="B202"/>
  <c r="B200"/>
  <c r="B198"/>
  <c r="B196"/>
  <c r="B194"/>
  <c r="B192"/>
  <c r="B190"/>
  <c r="B188"/>
  <c r="B186"/>
  <c r="B184"/>
  <c r="B182"/>
  <c r="B180"/>
  <c r="B178"/>
  <c r="B176"/>
  <c r="B173"/>
  <c r="B171"/>
  <c r="B169"/>
  <c r="B167"/>
  <c r="B165"/>
  <c r="B163"/>
  <c r="B161"/>
  <c r="B159"/>
  <c r="B157"/>
  <c r="B155"/>
  <c r="B153"/>
  <c r="B151"/>
  <c r="B149"/>
  <c r="B147"/>
  <c r="B145"/>
  <c r="B143"/>
  <c r="B141"/>
  <c r="B139"/>
  <c r="B137"/>
  <c r="B135"/>
  <c r="B133"/>
  <c r="B131"/>
  <c r="B129"/>
  <c r="B127"/>
  <c r="B125"/>
  <c r="B123"/>
  <c r="B121"/>
  <c r="B119"/>
  <c r="B117"/>
  <c r="B115"/>
  <c r="B113"/>
  <c r="A60" i="1" s="1"/>
  <c r="B111" i="2"/>
  <c r="B109"/>
  <c r="B107"/>
  <c r="B105"/>
  <c r="B103"/>
  <c r="B101"/>
  <c r="B99"/>
  <c r="B97"/>
  <c r="B95"/>
  <c r="B93"/>
  <c r="B91"/>
  <c r="B89"/>
  <c r="B87"/>
  <c r="B85"/>
  <c r="B83"/>
  <c r="B81"/>
  <c r="B79"/>
  <c r="B77"/>
  <c r="B75"/>
  <c r="L5" s="1"/>
  <c r="H16" s="1"/>
  <c r="B73"/>
  <c r="B71"/>
  <c r="F3" s="1"/>
  <c r="B69"/>
  <c r="A1" i="1" s="1"/>
  <c r="B67" i="2"/>
  <c r="A1" s="1"/>
  <c r="B212"/>
  <c r="B208"/>
  <c r="B203"/>
  <c r="B201"/>
  <c r="B199"/>
  <c r="B197"/>
  <c r="B195"/>
  <c r="B193"/>
  <c r="B191"/>
  <c r="B189"/>
  <c r="B187"/>
  <c r="B185"/>
  <c r="B183"/>
  <c r="B181"/>
  <c r="B179"/>
  <c r="B177"/>
  <c r="B174"/>
  <c r="B172"/>
  <c r="B170"/>
  <c r="B168"/>
  <c r="B166"/>
  <c r="B164"/>
  <c r="B162"/>
  <c r="B160"/>
  <c r="B158"/>
  <c r="B156"/>
  <c r="B154"/>
  <c r="B152"/>
  <c r="B150"/>
  <c r="B148"/>
  <c r="B146"/>
  <c r="B144"/>
  <c r="B142"/>
  <c r="B140"/>
  <c r="B138"/>
  <c r="B136"/>
  <c r="B134"/>
  <c r="B132"/>
  <c r="B130"/>
  <c r="B128"/>
  <c r="B126"/>
  <c r="B124"/>
  <c r="B122"/>
  <c r="B120"/>
  <c r="B118"/>
  <c r="B116"/>
  <c r="B114"/>
  <c r="B112"/>
  <c r="A59" i="1" s="1"/>
  <c r="B110" i="2"/>
  <c r="A58" i="1" s="1"/>
  <c r="B108" i="2"/>
  <c r="B106"/>
  <c r="B104"/>
  <c r="B102"/>
  <c r="B100"/>
  <c r="B98"/>
  <c r="B96"/>
  <c r="B94"/>
  <c r="B92"/>
  <c r="B90"/>
  <c r="B88"/>
  <c r="B86"/>
  <c r="B84"/>
  <c r="B82"/>
  <c r="B80"/>
  <c r="B78"/>
  <c r="B76"/>
  <c r="B74"/>
  <c r="C1" i="1" s="1"/>
  <c r="B72" i="2"/>
  <c r="B70"/>
  <c r="B3" i="1" l="1"/>
  <c r="N3"/>
  <c r="C40" i="2"/>
  <c r="C59" s="1"/>
  <c r="A63"/>
  <c r="A52"/>
  <c r="G22"/>
  <c r="G24"/>
  <c r="G20"/>
  <c r="G18"/>
  <c r="A53" i="1"/>
  <c r="A50"/>
  <c r="A51"/>
  <c r="A52"/>
  <c r="L41" i="2"/>
  <c r="E10" i="1"/>
  <c r="F10" s="1"/>
  <c r="A10"/>
  <c r="C62" i="2"/>
  <c r="L4"/>
  <c r="M3" i="1"/>
  <c r="A54"/>
  <c r="A55"/>
  <c r="L39" i="2"/>
  <c r="L40"/>
  <c r="J38"/>
  <c r="D3" i="1"/>
  <c r="A13"/>
  <c r="M17" i="2" s="1"/>
  <c r="H44" i="1"/>
  <c r="H45"/>
  <c r="H46"/>
  <c r="H47"/>
  <c r="H48"/>
  <c r="H49"/>
  <c r="H50"/>
  <c r="H51"/>
  <c r="H52"/>
  <c r="H53"/>
  <c r="A5"/>
  <c r="A6"/>
  <c r="A7"/>
  <c r="A8"/>
  <c r="H15" s="1"/>
  <c r="A9"/>
  <c r="H28" s="1"/>
  <c r="A11"/>
  <c r="A12"/>
  <c r="A14"/>
  <c r="A15"/>
  <c r="A16"/>
  <c r="A17"/>
  <c r="A18"/>
  <c r="A19"/>
  <c r="A20"/>
  <c r="A21"/>
  <c r="A22"/>
  <c r="A23"/>
  <c r="A24"/>
  <c r="A39"/>
  <c r="L22" i="2"/>
  <c r="E17" i="1"/>
  <c r="F17" s="1"/>
  <c r="A25"/>
  <c r="A26"/>
  <c r="A27"/>
  <c r="A28"/>
  <c r="A29"/>
  <c r="A30"/>
  <c r="A31"/>
  <c r="A32"/>
  <c r="L26" i="2"/>
  <c r="E6" i="1"/>
  <c r="F6" s="1"/>
  <c r="E7"/>
  <c r="F7" s="1"/>
  <c r="A46"/>
  <c r="L24" i="2"/>
  <c r="E8" i="1"/>
  <c r="F8" s="1"/>
  <c r="H35"/>
  <c r="H36"/>
  <c r="J36"/>
  <c r="H37"/>
  <c r="J37"/>
  <c r="C43" i="2"/>
  <c r="A36" i="1"/>
  <c r="A37"/>
  <c r="A38"/>
  <c r="I52" i="2"/>
  <c r="H52"/>
  <c r="G52"/>
  <c r="A50"/>
  <c r="A49"/>
  <c r="A43"/>
  <c r="A62" s="1"/>
  <c r="A42"/>
  <c r="A61" s="1"/>
  <c r="A41"/>
  <c r="A60" s="1"/>
  <c r="A40"/>
  <c r="A59" s="1"/>
  <c r="A38"/>
  <c r="F17"/>
  <c r="F39" s="1"/>
  <c r="E35"/>
  <c r="G42"/>
  <c r="G41"/>
  <c r="G40"/>
  <c r="G29"/>
  <c r="G31"/>
  <c r="G47"/>
  <c r="G45"/>
  <c r="E33"/>
  <c r="E31"/>
  <c r="A47" s="1"/>
  <c r="E29"/>
  <c r="A45" s="1"/>
  <c r="K17"/>
  <c r="J16"/>
  <c r="J15"/>
  <c r="A27"/>
  <c r="A26"/>
  <c r="A58" s="1"/>
  <c r="A25"/>
  <c r="A24"/>
  <c r="A57" s="1"/>
  <c r="A23"/>
  <c r="A22"/>
  <c r="A56" s="1"/>
  <c r="A21"/>
  <c r="A20"/>
  <c r="A55" s="1"/>
  <c r="A19"/>
  <c r="A54" s="1"/>
  <c r="A18"/>
  <c r="A53" s="1"/>
  <c r="I17"/>
  <c r="I39" s="1"/>
  <c r="H17"/>
  <c r="H39" s="1"/>
  <c r="G16"/>
  <c r="G38" s="1"/>
  <c r="F16"/>
  <c r="F38" s="1"/>
  <c r="J38" i="1"/>
  <c r="J35"/>
  <c r="H38"/>
  <c r="A43"/>
  <c r="A44"/>
  <c r="A45"/>
  <c r="A42"/>
  <c r="A16" i="2"/>
  <c r="E14"/>
  <c r="E12"/>
  <c r="A14"/>
  <c r="A12"/>
  <c r="E11" i="1"/>
  <c r="F11" s="1"/>
  <c r="L18" i="2"/>
  <c r="G53"/>
  <c r="E31" i="1"/>
  <c r="F31" s="1"/>
  <c r="L19" i="2"/>
  <c r="L20"/>
  <c r="G55"/>
  <c r="E18" i="1"/>
  <c r="F18" s="1"/>
  <c r="E19"/>
  <c r="F19" s="1"/>
  <c r="E27"/>
  <c r="F27" s="1"/>
  <c r="E9"/>
  <c r="F9" s="1"/>
  <c r="L59" i="2"/>
  <c r="F59" s="1"/>
  <c r="I43"/>
  <c r="I62" s="1"/>
  <c r="F47"/>
  <c r="I38"/>
  <c r="F31"/>
  <c r="H35"/>
  <c r="A13"/>
  <c r="A10"/>
  <c r="H7"/>
  <c r="A7"/>
  <c r="F5"/>
  <c r="F4"/>
  <c r="A4"/>
  <c r="F2"/>
  <c r="M14"/>
  <c r="E28" i="1"/>
  <c r="F28" s="1"/>
  <c r="L42" i="2"/>
  <c r="F5" i="1"/>
  <c r="E23"/>
  <c r="F23" s="1"/>
  <c r="E14"/>
  <c r="F14" s="1"/>
  <c r="E16"/>
  <c r="F16" s="1"/>
  <c r="E26"/>
  <c r="F26" s="1"/>
  <c r="J27" i="2"/>
  <c r="L23"/>
  <c r="L27"/>
  <c r="L25"/>
  <c r="E32" i="1"/>
  <c r="F32" s="1"/>
  <c r="E12"/>
  <c r="F12" s="1"/>
  <c r="F13"/>
  <c r="E15"/>
  <c r="F15" s="1"/>
  <c r="E20"/>
  <c r="F20" s="1"/>
  <c r="E21"/>
  <c r="F21" s="1"/>
  <c r="E22"/>
  <c r="F22" s="1"/>
  <c r="E24"/>
  <c r="F24" s="1"/>
  <c r="E25"/>
  <c r="F25" s="1"/>
  <c r="E29"/>
  <c r="F29" s="1"/>
  <c r="E30"/>
  <c r="F30" s="1"/>
  <c r="C58" i="2"/>
  <c r="C56"/>
  <c r="C55"/>
  <c r="C54"/>
  <c r="C53"/>
  <c r="E34" i="1"/>
  <c r="H19" l="1"/>
  <c r="F52" i="2"/>
  <c r="F63"/>
  <c r="H38"/>
  <c r="H16" i="1"/>
  <c r="H27"/>
  <c r="H25"/>
  <c r="G59" i="2"/>
  <c r="H17" i="1"/>
  <c r="H22"/>
  <c r="H41" i="2"/>
  <c r="L13"/>
  <c r="M40" s="1"/>
  <c r="M41" s="1"/>
  <c r="M42" s="1"/>
  <c r="L11"/>
  <c r="L12"/>
  <c r="M13" s="1"/>
  <c r="H42"/>
  <c r="H26" i="1"/>
  <c r="H29"/>
  <c r="H18"/>
  <c r="H20"/>
  <c r="H19" i="2"/>
  <c r="I19" s="1"/>
  <c r="H23" i="1"/>
  <c r="H20" i="2"/>
  <c r="H55" s="1"/>
  <c r="I55" s="1"/>
  <c r="H18"/>
  <c r="I18" s="1"/>
  <c r="L14"/>
  <c r="M34" s="1"/>
  <c r="H21" i="1"/>
  <c r="H30"/>
  <c r="H14"/>
  <c r="H24"/>
  <c r="L54" i="2"/>
  <c r="G54" s="1"/>
  <c r="F26"/>
  <c r="E13" l="1"/>
  <c r="C24"/>
  <c r="C57" s="1"/>
  <c r="K38"/>
  <c r="K15"/>
  <c r="H40"/>
  <c r="H59" s="1"/>
  <c r="I59" s="1"/>
  <c r="F22"/>
  <c r="M22" s="1"/>
  <c r="M43"/>
  <c r="A11"/>
  <c r="I20"/>
  <c r="H53"/>
  <c r="I53" s="1"/>
  <c r="F41"/>
  <c r="C41" s="1"/>
  <c r="M36"/>
  <c r="M35"/>
  <c r="F54"/>
  <c r="H54"/>
  <c r="I54" s="1"/>
  <c r="M26"/>
  <c r="H26" s="1"/>
  <c r="H27" s="1"/>
  <c r="G58"/>
  <c r="L57" l="1"/>
  <c r="F57" s="1"/>
  <c r="L60"/>
  <c r="H60" s="1"/>
  <c r="C42"/>
  <c r="I40"/>
  <c r="G56"/>
  <c r="F24"/>
  <c r="M24" s="1"/>
  <c r="H24" s="1"/>
  <c r="I41"/>
  <c r="F60"/>
  <c r="H22"/>
  <c r="I27"/>
  <c r="I26"/>
  <c r="G60" l="1"/>
  <c r="I60" s="1"/>
  <c r="G57"/>
  <c r="C60"/>
  <c r="L58"/>
  <c r="H58" s="1"/>
  <c r="I58" s="1"/>
  <c r="C61"/>
  <c r="F42"/>
  <c r="H23"/>
  <c r="I23" s="1"/>
  <c r="I22"/>
  <c r="M21"/>
  <c r="I24"/>
  <c r="H25"/>
  <c r="I25" s="1"/>
  <c r="L61" l="1"/>
  <c r="I42"/>
  <c r="I45" s="1"/>
  <c r="I47" s="1"/>
  <c r="H57"/>
  <c r="I57" s="1"/>
  <c r="I29"/>
  <c r="I31" s="1"/>
  <c r="H56"/>
  <c r="I56" s="1"/>
  <c r="F61" l="1"/>
  <c r="H61"/>
  <c r="G61"/>
  <c r="I33"/>
  <c r="I35" s="1"/>
  <c r="I61" l="1"/>
  <c r="I63" s="1"/>
</calcChain>
</file>

<file path=xl/comments1.xml><?xml version="1.0" encoding="utf-8"?>
<comments xmlns="http://schemas.openxmlformats.org/spreadsheetml/2006/main">
  <authors>
    <author>Sławek Zalewski</author>
  </authors>
  <commentList>
    <comment ref="I1" authorId="0">
      <text>
        <r>
          <rPr>
            <b/>
            <sz val="8"/>
            <color indexed="81"/>
            <rFont val="Tahoma"/>
            <family val="2"/>
            <charset val="238"/>
          </rPr>
          <t>wybierz język kalkulatora</t>
        </r>
      </text>
    </comment>
    <comment ref="I2" authorId="0">
      <text>
        <r>
          <rPr>
            <b/>
            <sz val="8"/>
            <color indexed="81"/>
            <rFont val="Tahoma"/>
            <family val="2"/>
            <charset val="238"/>
          </rPr>
          <t>wybierz rodzaj cen do kalkulacji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wprowadź aktualny kurs PLN/EUR do wyceny w EUR</t>
        </r>
      </text>
    </comment>
    <comment ref="C4" authorId="0">
      <text>
        <r>
          <rPr>
            <b/>
            <sz val="8"/>
            <color indexed="81"/>
            <rFont val="Tahoma"/>
            <family val="2"/>
            <charset val="238"/>
          </rPr>
          <t>wprowadź nazwę i dane dystrybutora</t>
        </r>
        <r>
          <rPr>
            <b/>
            <sz val="8"/>
            <color indexed="16"/>
            <rFont val="Tahoma"/>
            <family val="2"/>
            <charset val="238"/>
          </rPr>
          <t xml:space="preserve">
</t>
        </r>
        <r>
          <rPr>
            <sz val="8"/>
            <color indexed="23"/>
            <rFont val="Tahoma"/>
            <family val="2"/>
            <charset val="238"/>
          </rPr>
          <t>dane będą widoczne w dolnej części wydruku</t>
        </r>
      </text>
    </comment>
    <comment ref="I4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wprowadź rabat procentowy od cen cennikowych Alpol
- </t>
        </r>
        <r>
          <rPr>
            <sz val="8"/>
            <color indexed="23"/>
            <rFont val="Tahoma"/>
            <family val="2"/>
            <charset val="238"/>
          </rPr>
          <t>wpływa na wysokość cen produktów Alpol w kalkulacji
- nie wpływa na wysokość cen wełny, łączników i materiałów uzupełniających
- wysokość tego rabatu nie jest widoczna na wydruku</t>
        </r>
      </text>
    </comment>
    <comment ref="I5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wprowadź procentowy narzut do cen dla produktów Alpol 
- </t>
        </r>
        <r>
          <rPr>
            <sz val="8"/>
            <color indexed="23"/>
            <rFont val="Tahoma"/>
            <family val="2"/>
            <charset val="238"/>
          </rPr>
          <t>wpływa na wysokość cen produktów Alpol w kalkulacji
- nie wpływa na wysokość cen wełny, łączników i materiałów uzupełniających
- wysokość tego narzutu nie jest widoczna na wydruku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38"/>
          </rPr>
          <t>wprowadź dane odbiorcy kalkulacji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38"/>
          </rPr>
          <t>wprowadź dane obiektu budowlanego którego dotyczy kalkulacja</t>
        </r>
      </text>
    </comment>
    <comment ref="H8" authorId="0">
      <text>
        <r>
          <rPr>
            <b/>
            <sz val="8"/>
            <color indexed="81"/>
            <rFont val="Tahoma"/>
            <family val="2"/>
            <charset val="238"/>
          </rPr>
          <t>wprowadź datę sprządzenia kalkulacji</t>
        </r>
      </text>
    </comment>
    <comment ref="D1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wprowadź wielkość docieplanej powierzchni
</t>
        </r>
        <r>
          <rPr>
            <sz val="8"/>
            <color indexed="23"/>
            <rFont val="Tahoma"/>
            <family val="2"/>
            <charset val="238"/>
          </rPr>
          <t>kalkulator przeliczy ilość i wartość materiałów po zaokrągleniu do pełnych opakowań</t>
        </r>
      </text>
    </comment>
    <comment ref="F1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wybierz rodaj ocieplanej przegrody
</t>
        </r>
        <r>
          <rPr>
            <sz val="8"/>
            <color indexed="23"/>
            <rFont val="Tahoma"/>
            <family val="2"/>
            <charset val="238"/>
          </rPr>
          <t>wpływa na prawidłowy dobór ilości łączników mechanicznych</t>
        </r>
      </text>
    </comment>
    <comment ref="F1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wybierz rodzaj materiału konstrukcyjnego ocieplanej przegrody
</t>
        </r>
        <r>
          <rPr>
            <sz val="8"/>
            <color indexed="23"/>
            <rFont val="Tahoma"/>
            <family val="2"/>
            <charset val="238"/>
          </rPr>
          <t>wpływa na prawidłowy dobór rodzaju i długości łączników mechanicznych</t>
        </r>
      </text>
    </comment>
    <comment ref="D14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wybierz z listy lub wprowadź grubość warstwy izolacji termicznej
</t>
        </r>
        <r>
          <rPr>
            <b/>
            <sz val="8"/>
            <color indexed="23"/>
            <rFont val="Tahoma"/>
            <family val="2"/>
            <charset val="238"/>
          </rPr>
          <t xml:space="preserve">- </t>
        </r>
        <r>
          <rPr>
            <sz val="8"/>
            <color indexed="23"/>
            <rFont val="Tahoma"/>
            <family val="2"/>
            <charset val="238"/>
          </rPr>
          <t>wpływa na cenę wełny mineralnej i dobór długości łączników mechanicznych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23"/>
            <rFont val="Tahoma"/>
            <family val="2"/>
            <charset val="238"/>
          </rPr>
          <t>- z listy można wybrać tylko grubości wełny Rockwool dostępne w sieci handlowej
- wprowadzić można inne grubości i jeżeli taka wełna jest dostępna wpisać dla niej własną cenę
- aby wykonać kalkulację bez uwzgledniania grubości wełny wpisz "0" lub pozostaw pole nie wypełnione</t>
        </r>
      </text>
    </comment>
    <comment ref="F14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wprowadź rodzaj stosowanej wełny mineralnej
</t>
        </r>
        <r>
          <rPr>
            <sz val="8"/>
            <color indexed="23"/>
            <rFont val="Tahoma"/>
            <family val="2"/>
            <charset val="238"/>
          </rPr>
          <t>wpływa na prawidłowy dobór ilości łączników mechanicznych</t>
        </r>
      </text>
    </comment>
    <comment ref="C18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wybierz z listy rodzaj kleju do przyklejania izolacji
</t>
        </r>
        <r>
          <rPr>
            <sz val="8"/>
            <color indexed="23"/>
            <rFont val="Tahoma"/>
            <family val="2"/>
            <charset val="238"/>
          </rPr>
          <t xml:space="preserve">uwaga - klej zimowy umożliwia pracę w obniżonych temperaturach (od 0 </t>
        </r>
        <r>
          <rPr>
            <sz val="8"/>
            <color indexed="23"/>
            <rFont val="Arial"/>
            <family val="2"/>
            <charset val="238"/>
          </rPr>
          <t>°C)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wybierz z listy wielkość zużycia kleju do klejenia wełny
</t>
        </r>
        <r>
          <rPr>
            <sz val="8"/>
            <color indexed="23"/>
            <rFont val="Tahoma"/>
            <family val="2"/>
            <charset val="238"/>
          </rPr>
          <t>4,5 kg/m2 - zużycie dla wełny lamelowej na bardzo równym podłożu
5,0 kg/m2 - zużycie dla podłoża o małych nierównościach typowe dla wełny fasadowej
5,5 kg/m2 - zużycie dla podłoża o małych nierównościach typowe dla wełny lamelowej
6,0 kg/m2 - zużycie dla wełny fasadowej na podłożu o większych nierównościach (do 1,5 cm)</t>
        </r>
      </text>
    </comment>
    <comment ref="J18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wprowadź indywidualny rabat procentowy dla tej pozycji
</t>
        </r>
        <r>
          <rPr>
            <b/>
            <sz val="8"/>
            <color indexed="23"/>
            <rFont val="Tahoma"/>
            <family val="2"/>
            <charset val="238"/>
          </rPr>
          <t xml:space="preserve">- </t>
        </r>
        <r>
          <rPr>
            <sz val="8"/>
            <color indexed="23"/>
            <rFont val="Tahoma"/>
            <family val="2"/>
            <charset val="238"/>
          </rPr>
          <t>wpływa na cenę pozycji w kalkulacji
- puste pole oznacza rabat zerowy
- wysokość tego rabatu nie jest widoczna na wydruku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38"/>
          </rPr>
          <t>wybierz z listy rodzaj siatki zbroącej</t>
        </r>
      </text>
    </comment>
    <comment ref="F19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wybierz z listy wielkość zakładanego zużycia siatki zbrojącej
</t>
        </r>
        <r>
          <rPr>
            <sz val="8"/>
            <color indexed="23"/>
            <rFont val="Tahoma"/>
            <family val="2"/>
            <charset val="238"/>
          </rPr>
          <t>1,10 - zużycie labolatoryjne lub dla 1m2 ocieplenia "wyciętego" z większej powierzchni
1,15 - zużycie właściwe dla większości typowych budynków mieszkalnych
1,20 - zużycie właściwe dla budynków o złożonej architekturze np. dużej liczbie okien</t>
        </r>
      </text>
    </comment>
    <comment ref="J19" authorId="0">
      <text>
        <r>
          <rPr>
            <b/>
            <sz val="8"/>
            <color indexed="81"/>
            <rFont val="Tahoma"/>
            <family val="2"/>
            <charset val="238"/>
          </rPr>
          <t>wprowadź indywidualny rabat procentowy dla tej pozycji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23"/>
            <rFont val="Tahoma"/>
            <family val="2"/>
            <charset val="238"/>
          </rPr>
          <t>- wpływa na cenę pozycji w kalkulacji
- puste pole oznacza rabat zerowy
- wysokość tego rabatu nie jest widoczna na wydruku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wybierz z listy rodzaj kleju do wykonywania warstwy zbrojącej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23"/>
            <rFont val="Tahoma"/>
            <family val="2"/>
            <charset val="238"/>
          </rPr>
          <t>uwaga - klej zimowy umożliwia pracę w obniżonych temperaturach (od 0 °C)</t>
        </r>
      </text>
    </comment>
    <comment ref="F20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wybierz z listy wielkość zużycia kleju do szpachlowania i zatapiania siatki
</t>
        </r>
        <r>
          <rPr>
            <sz val="8"/>
            <color indexed="23"/>
            <rFont val="Tahoma"/>
            <family val="2"/>
            <charset val="238"/>
          </rPr>
          <t>5,0 kg/m2 - zużycie dla bardzo równego podłoża
5,5  kg/m2 - zużycie dla podłoża o niewielkich nierównościach (standardowe)
6,0 kg/m2 - zużycie dla podłoża o większych nierównościach płaszczyzny</t>
        </r>
      </text>
    </comment>
    <comment ref="J20" authorId="0">
      <text>
        <r>
          <rPr>
            <b/>
            <sz val="8"/>
            <color indexed="81"/>
            <rFont val="Tahoma"/>
            <family val="2"/>
            <charset val="238"/>
          </rPr>
          <t>wprowadź indywidualny rabat procentowy dla tej pozycji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23"/>
            <rFont val="Tahoma"/>
            <family val="2"/>
            <charset val="238"/>
          </rPr>
          <t>- wpływa na cenę pozycji w kalkulacji
- puste pole oznacza rabat zerowy
- wysokość tego rabatu nie jest widoczna na wydruku</t>
        </r>
      </text>
    </comment>
    <comment ref="C2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wybierz z listy rodzaj tynku
</t>
        </r>
        <r>
          <rPr>
            <sz val="8"/>
            <color indexed="23"/>
            <rFont val="Tahoma"/>
            <family val="2"/>
            <charset val="238"/>
          </rPr>
          <t>- dla tynku mineralnego uziarnienie wybranego tynku
  wpływa na wielkość zużycia farby elewacyjnej</t>
        </r>
      </text>
    </comment>
    <comment ref="J22" authorId="0">
      <text>
        <r>
          <rPr>
            <b/>
            <sz val="8"/>
            <color indexed="81"/>
            <rFont val="Tahoma"/>
            <family val="2"/>
            <charset val="238"/>
          </rPr>
          <t>wprowadź indywidualny rabat procentowy dla tej pozycji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23"/>
            <rFont val="Tahoma"/>
            <family val="2"/>
            <charset val="238"/>
          </rPr>
          <t>- wpływa na cenę pozycji w kalkulacji
- puste pole oznacza rabat zerowy
- wysokość tego rabatu nie jest widoczna na wydruku</t>
        </r>
      </text>
    </comment>
    <comment ref="K2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wprowadź cenę za 1 kg tynku
</t>
        </r>
        <r>
          <rPr>
            <sz val="8"/>
            <color indexed="23"/>
            <rFont val="Tahoma"/>
            <family val="2"/>
            <charset val="238"/>
          </rPr>
          <t>- opcja dostępna dla kolorów tynków grupy IV
- wysokość tej ceny nie jest widoczna na wydruku</t>
        </r>
      </text>
    </comment>
    <comment ref="C2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wybierz grupę cenową tynku
</t>
        </r>
        <r>
          <rPr>
            <sz val="8"/>
            <color indexed="23"/>
            <rFont val="Tahoma"/>
            <family val="2"/>
            <charset val="238"/>
          </rPr>
          <t>grupa I - bez dopłaty
grupa II - dopłata 5%
grupa III - dopłata 10% dla tynków silikatowo-silikonowych
grupa IV - cena indywidualna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23"/>
            <rFont val="Tahoma"/>
            <family val="2"/>
            <charset val="238"/>
          </rPr>
          <t>dla tynków mineralnych opcja nie jest dostęna</t>
        </r>
      </text>
    </comment>
    <comment ref="J24" authorId="0">
      <text>
        <r>
          <rPr>
            <b/>
            <sz val="8"/>
            <color indexed="81"/>
            <rFont val="Tahoma"/>
            <family val="2"/>
            <charset val="238"/>
          </rPr>
          <t>wprowadź indywidualny rabat procentowy dla tej pozycji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23"/>
            <rFont val="Tahoma"/>
            <family val="2"/>
            <charset val="238"/>
          </rPr>
          <t>- wpływa na cenę pozycji w kalkulacji
- puste pole oznacza rabat zerowy
- wysokość tego rabatu nie jest widoczna na wydruku</t>
        </r>
      </text>
    </comment>
    <comment ref="K24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wprowadź cenę za 1 kg gruntu
</t>
        </r>
        <r>
          <rPr>
            <sz val="8"/>
            <color indexed="23"/>
            <rFont val="Tahoma"/>
            <family val="2"/>
            <charset val="238"/>
          </rPr>
          <t>- opcja dostępna dla kolorów gruntów grupy IV
- wysokość tej ceny nie jest widoczna na wydruku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wybierz grupę kolorystyczną gruntu
</t>
        </r>
        <r>
          <rPr>
            <sz val="8"/>
            <color indexed="23"/>
            <rFont val="Tahoma"/>
            <family val="2"/>
            <charset val="238"/>
          </rPr>
          <t>biały - bez dopłat
grupa I - dopłata 10%
grupa II - dopłata 20%
grupa III - dopłata 40%
grupa IV - cena indywidualna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23"/>
            <rFont val="Tahoma"/>
            <family val="2"/>
            <charset val="238"/>
          </rPr>
          <t>dla gruntów pod tynki mineralne opcja nie jest dostępna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wybierz rodzaj farby elewacyjnej
</t>
        </r>
        <r>
          <rPr>
            <sz val="8"/>
            <color indexed="23"/>
            <rFont val="Tahoma"/>
            <family val="2"/>
            <charset val="238"/>
          </rPr>
          <t>opcja dostępna po wybraniu tynków mineralnych lub w systemie garażowym w wersji bez tynku</t>
        </r>
      </text>
    </comment>
    <comment ref="J26" authorId="0">
      <text>
        <r>
          <rPr>
            <b/>
            <sz val="8"/>
            <color indexed="81"/>
            <rFont val="Tahoma"/>
            <family val="2"/>
            <charset val="238"/>
          </rPr>
          <t>wprowadź indywidualny rabat procentowy dla tej pozycji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23"/>
            <rFont val="Tahoma"/>
            <family val="2"/>
            <charset val="238"/>
          </rPr>
          <t>- wpływa na cenę pozycji w kalkulacji
- puste pole oznacza rabat zerowy
- wysokość tego rabatu nie jest widoczna na wydruku</t>
        </r>
      </text>
    </comment>
    <comment ref="K26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wprowadź cenę za 1 litr farby
</t>
        </r>
        <r>
          <rPr>
            <sz val="8"/>
            <color indexed="23"/>
            <rFont val="Tahoma"/>
            <family val="2"/>
            <charset val="238"/>
          </rPr>
          <t>- opcja dostępna dla kolorów farb grupy IV
- wysokość tej ceny nie jest widoczna na wydruku</t>
        </r>
      </text>
    </comment>
    <comment ref="C27" authorId="0">
      <text>
        <r>
          <rPr>
            <b/>
            <sz val="8"/>
            <color indexed="81"/>
            <rFont val="Tahoma"/>
            <family val="2"/>
            <charset val="238"/>
          </rPr>
          <t>wybierz grupę kolorystyczną farby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23"/>
            <rFont val="Tahoma"/>
            <family val="2"/>
            <charset val="238"/>
          </rPr>
          <t>grupa I - bez dopłat
grupa II - dopłata 10%
grupa III - dopłata 30%
grupa IV - cena indywidualna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23"/>
            <rFont val="Tahoma"/>
            <family val="2"/>
            <charset val="238"/>
          </rPr>
          <t>opcja dostępna po wybraniu tynków mineralnych lub w systemie garażowym w wersji bez tynku</t>
        </r>
      </text>
    </comment>
    <comment ref="F3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wprowadź procentowy rabat ogólny na system
</t>
        </r>
        <r>
          <rPr>
            <sz val="8"/>
            <color indexed="23"/>
            <rFont val="Tahoma"/>
            <family val="2"/>
            <charset val="238"/>
          </rPr>
          <t>wpływa na wartość łączną produktów Alpol oraz na ceny produktów Alpol w zestawieniu ilościowo-wartościowym materiałów</t>
        </r>
      </text>
    </comment>
    <comment ref="F40" authorId="0">
      <text>
        <r>
          <rPr>
            <b/>
            <sz val="8"/>
            <color indexed="81"/>
            <rFont val="Tahoma"/>
            <family val="2"/>
            <charset val="238"/>
          </rPr>
          <t>wybierz z listy wielkość zakładanego zużycia wełny mineralnej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23"/>
            <rFont val="Tahoma"/>
            <family val="2"/>
            <charset val="238"/>
          </rPr>
          <t xml:space="preserve">1,00 - zużycie labolatoryjne lub dla 1m2 ocieplenia "wyciętego" z większej powierzchni
1,03 - zużycie właściwe dla większości typowych budynków mieszkalnych
1,05 - zużycie właściwe dla budynków o złożonej architekturze </t>
        </r>
      </text>
    </comment>
    <comment ref="J40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wprowadź rabat procentowy od ceny wełny mineralnej
</t>
        </r>
        <r>
          <rPr>
            <sz val="8"/>
            <color indexed="23"/>
            <rFont val="Tahoma"/>
            <family val="2"/>
            <charset val="238"/>
          </rPr>
          <t>- wpływa na wysokość ceny wełny mineralnej w kalkulacji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23"/>
            <rFont val="Tahoma"/>
            <family val="2"/>
            <charset val="238"/>
          </rPr>
          <t xml:space="preserve">- </t>
        </r>
        <r>
          <rPr>
            <sz val="8"/>
            <color indexed="23"/>
            <rFont val="Tahoma"/>
            <family val="2"/>
            <charset val="238"/>
          </rPr>
          <t>w przypadku wybrania w kalkulacji wełny Rockwool, rabat
   liczony jest od ceny wełny podanej w tabeli w zakładce "Ceny"
- w przypadku wełen innych producentów, rabat liczony jest od
   ceny indywidualnej wprowadzonej obok w polu "Cena netto"
- wielkość procentowa tego rabatu nie jest widoczna na wydruku</t>
        </r>
      </text>
    </comment>
    <comment ref="K40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wprowadź cenę netto 1 m2 wełny mineralnej
</t>
        </r>
        <r>
          <rPr>
            <sz val="8"/>
            <color indexed="23"/>
            <rFont val="Tahoma"/>
            <family val="2"/>
            <charset val="238"/>
          </rPr>
          <t>- w przypadku wybrania w kalkulacji wełny objętej
   cennikiem Rockwool lub nie ustalonej grubości izolacji,
   opcja nie jest aktywna</t>
        </r>
      </text>
    </comment>
    <comment ref="J41" authorId="0">
      <text>
        <r>
          <rPr>
            <b/>
            <sz val="8"/>
            <color indexed="81"/>
            <rFont val="Tahoma"/>
            <family val="2"/>
            <charset val="238"/>
          </rPr>
          <t>wprowadź rabat procentowy od ceny łączników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23"/>
            <rFont val="Tahoma"/>
            <family val="2"/>
            <charset val="238"/>
          </rPr>
          <t>- wpływa na wysokość ceny łączników mechanicznych w kalkulacji
- rabat liczony jest od ceny wprowadzonej obok w polu "Cena netto"
- wielkość procentowa tego rabatu nie jest widoczna na wydruku</t>
        </r>
      </text>
    </comment>
    <comment ref="K41" authorId="0">
      <text>
        <r>
          <rPr>
            <b/>
            <sz val="8"/>
            <color indexed="81"/>
            <rFont val="Tahoma"/>
            <family val="2"/>
            <charset val="238"/>
          </rPr>
          <t>wprowadź cenę netto jednego łącznika</t>
        </r>
      </text>
    </comment>
    <comment ref="J42" authorId="0">
      <text>
        <r>
          <rPr>
            <b/>
            <sz val="8"/>
            <color indexed="81"/>
            <rFont val="Tahoma"/>
            <family val="2"/>
            <charset val="238"/>
          </rPr>
          <t>wprowadź rabat procentowy od ceny kołnierzy dociskowych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23"/>
            <rFont val="Tahoma"/>
            <family val="2"/>
            <charset val="238"/>
          </rPr>
          <t>- wpływa na wysokość ceny kołnierzy dociskowych w kalkulacji
- rabat liczony jest od ceny wprowadzonej obok w polu "Cena netto"
- wielkość procentowa tego rabatu nie jest widoczna na wydruku</t>
        </r>
      </text>
    </comment>
    <comment ref="K42" authorId="0">
      <text>
        <r>
          <rPr>
            <b/>
            <sz val="8"/>
            <color indexed="81"/>
            <rFont val="Tahoma"/>
            <family val="2"/>
            <charset val="238"/>
          </rPr>
          <t>wprowadź cenę netto jednego kołnierza</t>
        </r>
      </text>
    </comment>
    <comment ref="H4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wprowadź szacunkową cenę materiałów uzupełniających
</t>
        </r>
        <r>
          <rPr>
            <sz val="8"/>
            <color indexed="23"/>
            <rFont val="Tahoma"/>
            <family val="2"/>
            <charset val="238"/>
          </rPr>
          <t>koszt narożników, listew, profili, silikonu, dodatkowej siatki zbrojącej, itp. w przeliczeniu na 1 m2 powierzchni docieplenia</t>
        </r>
      </text>
    </comment>
  </commentList>
</comments>
</file>

<file path=xl/sharedStrings.xml><?xml version="1.0" encoding="utf-8"?>
<sst xmlns="http://schemas.openxmlformats.org/spreadsheetml/2006/main" count="732" uniqueCount="627">
  <si>
    <t>zużycie</t>
  </si>
  <si>
    <t>jedn.</t>
  </si>
  <si>
    <t>cena</t>
  </si>
  <si>
    <t>m2</t>
  </si>
  <si>
    <t>kg</t>
  </si>
  <si>
    <t>litr</t>
  </si>
  <si>
    <t>dopłaty do koloru tynków i farb</t>
  </si>
  <si>
    <t>dopłaty do gruntów</t>
  </si>
  <si>
    <t>%/100</t>
  </si>
  <si>
    <t>[%]</t>
  </si>
  <si>
    <t>Materiały konstrukcyjne ścian</t>
  </si>
  <si>
    <t>zakotwienia</t>
  </si>
  <si>
    <t>ilość</t>
  </si>
  <si>
    <t>łączników</t>
  </si>
  <si>
    <t>grubość</t>
  </si>
  <si>
    <t>tynku</t>
  </si>
  <si>
    <t>Rodzaje ścian</t>
  </si>
  <si>
    <t>rodzaj</t>
  </si>
  <si>
    <t>łącznika</t>
  </si>
  <si>
    <t>rodzaje wełny mineralnej</t>
  </si>
  <si>
    <t>L,XL</t>
  </si>
  <si>
    <t>MAX</t>
  </si>
  <si>
    <t>Rodzaj materiału izolacji (wełny):</t>
  </si>
  <si>
    <t>farby</t>
  </si>
  <si>
    <t xml:space="preserve">w zależnosci </t>
  </si>
  <si>
    <t>od tynku</t>
  </si>
  <si>
    <t>współczynnik</t>
  </si>
  <si>
    <t>zużycia</t>
  </si>
  <si>
    <t>z rabatem</t>
  </si>
  <si>
    <t>netto</t>
  </si>
  <si>
    <t>brutto</t>
  </si>
  <si>
    <t>25 kg</t>
  </si>
  <si>
    <t>10 litr</t>
  </si>
  <si>
    <t>Fasrock L</t>
  </si>
  <si>
    <t>Fasrock</t>
  </si>
  <si>
    <t>[cm]</t>
  </si>
  <si>
    <t>numer</t>
  </si>
  <si>
    <t>rabat [%]</t>
  </si>
  <si>
    <t>narzut [%]</t>
  </si>
  <si>
    <t>wsp.</t>
  </si>
  <si>
    <t>Wełna</t>
  </si>
  <si>
    <t>L</t>
  </si>
  <si>
    <t>P</t>
  </si>
  <si>
    <t>Lamela</t>
  </si>
  <si>
    <t>Płyta</t>
  </si>
  <si>
    <t>Nazwa odbiorcy kalkulacji</t>
  </si>
  <si>
    <t>Język</t>
  </si>
  <si>
    <t>Alpol Gips Sp. z o.o.</t>
  </si>
  <si>
    <t>Fidor, PL 26-200 Końskie,  tel +48 41 372 11 00</t>
  </si>
  <si>
    <t xml:space="preserve">Nazwa projektu, Ulica, Miejscowość </t>
  </si>
  <si>
    <t>PLN</t>
  </si>
  <si>
    <t>E</t>
  </si>
  <si>
    <t>przegrody</t>
  </si>
  <si>
    <t>G</t>
  </si>
  <si>
    <t>tynk:</t>
  </si>
  <si>
    <t>pustak z ceramiki poryzowanej</t>
  </si>
  <si>
    <t>wełna lamelowa Fasrock L</t>
  </si>
  <si>
    <t>AK 533 - Klej do ociepleń na wełnie mineralnej</t>
  </si>
  <si>
    <t>ALPOL 145 - siatka z włókna szklanego</t>
  </si>
  <si>
    <t>grupa I - kolory pastelowe (bez dopłaty)</t>
  </si>
  <si>
    <t>biały - bez dopłaty</t>
  </si>
  <si>
    <t>ściana nieotynkowana - od 20 do 25 m.</t>
  </si>
  <si>
    <t>AT 325 - Tynk mineralny extra, biały baranek 1,5 mm</t>
  </si>
  <si>
    <t>grunty w zależności od tynku</t>
  </si>
  <si>
    <t>AF 680 - Farba elewacyjna silikonowa x 2</t>
  </si>
  <si>
    <t>Polski</t>
  </si>
  <si>
    <t>Kalkulator systemu ociepleń</t>
  </si>
  <si>
    <t>Kalkulacja wg. cen:</t>
  </si>
  <si>
    <t>Dystrybutor:</t>
  </si>
  <si>
    <t>Nazwa dystrybutora Alpol</t>
  </si>
  <si>
    <t>Adres dystrybutora, telefon, kontakt</t>
  </si>
  <si>
    <t>Rabat dustrybutora [%]:</t>
  </si>
  <si>
    <t>Narzut dystrybutora [%]:</t>
  </si>
  <si>
    <t>Kalkulacja dla:</t>
  </si>
  <si>
    <t>Projekt:</t>
  </si>
  <si>
    <t xml:space="preserve">Nazwa inwestycji, Ulica, Miejscowość </t>
  </si>
  <si>
    <t>data sporządzenia</t>
  </si>
  <si>
    <t>SYSTEM DOCIEPLANIA ŚCIAN</t>
  </si>
  <si>
    <t>docieplenie ścian zewnętrznych</t>
  </si>
  <si>
    <t>docieplenie stropów i ścian garażowych</t>
  </si>
  <si>
    <t>z zastosowaniem wełny mineralnej</t>
  </si>
  <si>
    <t>Powierzchnia ocieplenia [m2]:</t>
  </si>
  <si>
    <t>Grubość materiału izolacji [cm]:</t>
  </si>
  <si>
    <t>Rodzaj i parametry przegrody:</t>
  </si>
  <si>
    <t>ściana nieotynkowana - do 8 m.</t>
  </si>
  <si>
    <t>ściana nieotynkowana - od 8 do 20 m.</t>
  </si>
  <si>
    <t>ściana nieotynkowana - powyżej 25 m.</t>
  </si>
  <si>
    <t>ściana otynkowana - do 8 m.</t>
  </si>
  <si>
    <t>ściana otynkowana - od 8 do 20 m.</t>
  </si>
  <si>
    <t>ściana otynkowana - od 20 do 25 m.</t>
  </si>
  <si>
    <t>ściana otynkowana - powyżej 25 m.</t>
  </si>
  <si>
    <t>strop garażowy nieotynkowany</t>
  </si>
  <si>
    <t>strop garażowy otynkowany</t>
  </si>
  <si>
    <t>Materiał konstrukcyjny ściany:</t>
  </si>
  <si>
    <t>Materiał konstrukcyjny stropu:</t>
  </si>
  <si>
    <t>beton, bloczki, cegła pełna</t>
  </si>
  <si>
    <t>pustaki, cegła szczelinowa</t>
  </si>
  <si>
    <t>bloczki z betonu komórkowego</t>
  </si>
  <si>
    <t>Rodzaj materiału izolacji:</t>
  </si>
  <si>
    <t>wełna mineralna - lamelowa</t>
  </si>
  <si>
    <t>wełna mineralna - fasadowa</t>
  </si>
  <si>
    <t>wełna fasadowa Fasrock MAX</t>
  </si>
  <si>
    <t>wełna fasadowa Fasrock</t>
  </si>
  <si>
    <t>Zużycie</t>
  </si>
  <si>
    <t>na</t>
  </si>
  <si>
    <t>1m2</t>
  </si>
  <si>
    <t>Jedn.</t>
  </si>
  <si>
    <t>Cena</t>
  </si>
  <si>
    <t>Rabaty</t>
  </si>
  <si>
    <t>od pozycji</t>
  </si>
  <si>
    <t>Materiały warstwy izolacyjno- zbrojeniowej</t>
  </si>
  <si>
    <t>Klej do przyklejania płyt</t>
  </si>
  <si>
    <t>Siatka zbrojąca</t>
  </si>
  <si>
    <t>Klej do zatapiania siatki</t>
  </si>
  <si>
    <t>Materiały wyprawy elewacyjnej</t>
  </si>
  <si>
    <t>Tynk dekoracyjny</t>
  </si>
  <si>
    <t>Dopłata do koloru tynku</t>
  </si>
  <si>
    <t>Grunt podtynkowy</t>
  </si>
  <si>
    <t>Dopłata do koloru gruntu</t>
  </si>
  <si>
    <t>Farba elewacyjna</t>
  </si>
  <si>
    <t>Dopłata do koloru farby</t>
  </si>
  <si>
    <t>grupa IV - wycena indywidualna</t>
  </si>
  <si>
    <t>RAZEM:</t>
  </si>
  <si>
    <t>RABAT NA SYSTEM:</t>
  </si>
  <si>
    <t>RAZEM MATERIAŁY ALPOL Z RABATEM:</t>
  </si>
  <si>
    <t>DYSTRYBUCJA:</t>
  </si>
  <si>
    <t>Materiał izolacji termicznej</t>
  </si>
  <si>
    <t>łączniki mechaniczne i materiały uzupełniające</t>
  </si>
  <si>
    <t>Rabat</t>
  </si>
  <si>
    <t>Izolacja termiczna</t>
  </si>
  <si>
    <t>grubości</t>
  </si>
  <si>
    <t>Łączniki mechaniczne</t>
  </si>
  <si>
    <t>bez łączników mechanicznych</t>
  </si>
  <si>
    <t>cm</t>
  </si>
  <si>
    <t>Kołnierze dociskowe</t>
  </si>
  <si>
    <t>Kołnierz dociskowy Ø 140 mm</t>
  </si>
  <si>
    <t>Materiały uzupełniające</t>
  </si>
  <si>
    <t>Cena szacunkowa na 1 m2 powierzchni ocieplenia</t>
  </si>
  <si>
    <t>ZESTAWIENIE ILOŚCIOWO-WARTOŚCIOWE MATERIAŁÓW</t>
  </si>
  <si>
    <t>ceny materiałów z rabatem, po przeliczeniu na pełne opakowania</t>
  </si>
  <si>
    <t>Materiały na</t>
  </si>
  <si>
    <t>m2 powierzchni docieplenia</t>
  </si>
  <si>
    <t>Ilość</t>
  </si>
  <si>
    <t>Wartość</t>
  </si>
  <si>
    <t>wartość szacunkowa na</t>
  </si>
  <si>
    <t>m2 pow. ocieplenia</t>
  </si>
  <si>
    <t>Uwaga: Kalkulacja nie uwzględnia dopłat</t>
  </si>
  <si>
    <t>do tynków, gruntów i farb w kolorach grupy IV</t>
  </si>
  <si>
    <t>- bez farby</t>
  </si>
  <si>
    <t>AF 660 - Farba elewacyjna silikatowa x 2</t>
  </si>
  <si>
    <t>AG 701 - Grunt pod tynki mineralne</t>
  </si>
  <si>
    <t>AG 706 - Grunt pod tynki krzemianowe</t>
  </si>
  <si>
    <t>- bez tynku dekoracyjnego (w systemie garażowym)</t>
  </si>
  <si>
    <t>AT 321 - Tynk mineralny biały kornik 2 mm</t>
  </si>
  <si>
    <t>AT 322 - Tynk mineralny biały kornik 3 mm</t>
  </si>
  <si>
    <t>AT 326 - Tynk mineralny extra, biały baranek 2 mm</t>
  </si>
  <si>
    <t>AT 327 - Tynk mineralny extra, biały baranek 2,5 mm</t>
  </si>
  <si>
    <t>AT 331 - Tynk mineralny szary kornik 2 mm</t>
  </si>
  <si>
    <t>AT 332 - Tynk mineralny szary kornik 3 mm</t>
  </si>
  <si>
    <t>AT 336 - Tynk mineralny extra, szary baranek 2 mm</t>
  </si>
  <si>
    <t>AT 338 - Tynk mineralny extra, szary baranek 3 mm</t>
  </si>
  <si>
    <t>AT 370 - Tynk silikatowo-silikonowy baranek 1 mm</t>
  </si>
  <si>
    <t>AT 371 - Tynk silikatowo-silikonowy baranek 1,5 mm</t>
  </si>
  <si>
    <t>AT 372 - Tynk silikatowo-silikonowy baranek 2 mm</t>
  </si>
  <si>
    <t>AT 376 - Tynk silikatowo-silikonowy kornik 1,5 mm</t>
  </si>
  <si>
    <t>AT 377 - Tynk silikatowo-silikonowy kornik 2 mm</t>
  </si>
  <si>
    <t>AT 378 - Tynk silikatowo-silikonowy kornik 2,5 mm</t>
  </si>
  <si>
    <t>VERTEX AKE 145A - siatka z włókna szklanego</t>
  </si>
  <si>
    <t>tnki    grunty   farby   grupa IV</t>
  </si>
  <si>
    <t>szt.</t>
  </si>
  <si>
    <t>1000 szt.</t>
  </si>
  <si>
    <t>m3</t>
  </si>
  <si>
    <t>ceny brutto</t>
  </si>
  <si>
    <t>Kalkulator</t>
  </si>
  <si>
    <t>Cennik:</t>
  </si>
  <si>
    <t>Frontrock MAX E</t>
  </si>
  <si>
    <t>wełna fasadowa Frontrock MAX E</t>
  </si>
  <si>
    <t>Fasrock LL</t>
  </si>
  <si>
    <t>wełna lamelowa Fasrock LL</t>
  </si>
  <si>
    <t>Język kalkulatora:</t>
  </si>
  <si>
    <t>PL</t>
  </si>
  <si>
    <t>Angielski</t>
  </si>
  <si>
    <t>Niemiecki</t>
  </si>
  <si>
    <t>Rosyjski</t>
  </si>
  <si>
    <t>Thermal insulation system calculator</t>
  </si>
  <si>
    <t>Rechner für Wärmedämmsystem</t>
  </si>
  <si>
    <t>Калькулятор системa утепления</t>
  </si>
  <si>
    <t>Based on prices:</t>
  </si>
  <si>
    <t>Kalk. nach Preisen:</t>
  </si>
  <si>
    <t>Калькуляция по ценам:</t>
  </si>
  <si>
    <t>net</t>
  </si>
  <si>
    <t>нетто</t>
  </si>
  <si>
    <t>gross</t>
  </si>
  <si>
    <t>брутто</t>
  </si>
  <si>
    <t>Distributor:</t>
  </si>
  <si>
    <t>Vertreiber:</t>
  </si>
  <si>
    <t>Дистрибьютор:</t>
  </si>
  <si>
    <t>Alpol distributor name:</t>
  </si>
  <si>
    <t>Name des Vertreibers von Alpol</t>
  </si>
  <si>
    <t>Название дистрибьютора Alpol</t>
  </si>
  <si>
    <t>Distributor address, telephone, contact:</t>
  </si>
  <si>
    <t>Vertreiberadresse, Telefonnummer, Kontaktangaben</t>
  </si>
  <si>
    <t>Адрес дистрибьютора, телефон, контакт</t>
  </si>
  <si>
    <t>Distributor discount [%]:</t>
  </si>
  <si>
    <t>Vertreiber-Nachlass [%]:</t>
  </si>
  <si>
    <t>Скидка дистриб. [%]:</t>
  </si>
  <si>
    <t>Distributor mark-up [%]:</t>
  </si>
  <si>
    <t>Vertreiber-Zuschlag [%]:</t>
  </si>
  <si>
    <t>Наценка дистриб. [%]:</t>
  </si>
  <si>
    <t>Calculation for:</t>
  </si>
  <si>
    <t>Kalkulation für:</t>
  </si>
  <si>
    <t>Калькуляция для:</t>
  </si>
  <si>
    <t>Client:</t>
  </si>
  <si>
    <t>Name des Kalkulation-Abnehmers</t>
  </si>
  <si>
    <t>Название получателя калькуляции</t>
  </si>
  <si>
    <t>Project:</t>
  </si>
  <si>
    <t>Проект:</t>
  </si>
  <si>
    <t xml:space="preserve">Project, street, city </t>
  </si>
  <si>
    <t xml:space="preserve">Name der Investition, Straße, Ort </t>
  </si>
  <si>
    <t xml:space="preserve">Название инвестиции, Улица, Город </t>
  </si>
  <si>
    <t>date of issue</t>
  </si>
  <si>
    <t>Erstellt am</t>
  </si>
  <si>
    <t>дата составления</t>
  </si>
  <si>
    <t>WALL INSULATION SYSTEM</t>
  </si>
  <si>
    <t>WANDDÄMMSYSTEM</t>
  </si>
  <si>
    <t>Система утепления стен</t>
  </si>
  <si>
    <t>external wall insulation</t>
  </si>
  <si>
    <t>Wärmemdämmung von Außenwänden</t>
  </si>
  <si>
    <t>утепление наружных стен</t>
  </si>
  <si>
    <t>insulation of garage walls and ceilings</t>
  </si>
  <si>
    <t>Wärmedämmung von Garagendecken und -Wänden</t>
  </si>
  <si>
    <t>утепление перекрытий и стен гаражей</t>
  </si>
  <si>
    <t>using mineral wool</t>
  </si>
  <si>
    <t>unter Einsatz von Mineralwolle-Dämmplatten</t>
  </si>
  <si>
    <t>с использованием минеральной ваты</t>
  </si>
  <si>
    <t>Insulation area [m2]</t>
  </si>
  <si>
    <t>Wärmedämmfläche [m2]:</t>
  </si>
  <si>
    <t>Площадь утепления [м2]:</t>
  </si>
  <si>
    <t>Insulation thickness [cm]:</t>
  </si>
  <si>
    <t>Толщина терм. изоляции [см]:</t>
  </si>
  <si>
    <t>Parameters of partition:</t>
  </si>
  <si>
    <t>Parameter der Trennwand:</t>
  </si>
  <si>
    <t>Параметры перегородки:</t>
  </si>
  <si>
    <t>unplastered wall – up to 8 m.</t>
  </si>
  <si>
    <t>unverputzte Wand - bis 8 m.</t>
  </si>
  <si>
    <t>не штукатуренная стена – до 8 м.</t>
  </si>
  <si>
    <t>unplastered wall – from 8 to 20 m.</t>
  </si>
  <si>
    <t>unverputzte Wand - von 8 bis 20 m.</t>
  </si>
  <si>
    <t>не штукатуренная стена – от 8 до 20 м.</t>
  </si>
  <si>
    <t>unplastered wall – from 20 to 25 m.</t>
  </si>
  <si>
    <t>unverputzte Wand - von 20 bis 25 m.</t>
  </si>
  <si>
    <t>штукатуренная стена – от 20 до 25 м.</t>
  </si>
  <si>
    <t>unplastered wall – above 25 m.</t>
  </si>
  <si>
    <t>unverputzte Wand - über 25 m.</t>
  </si>
  <si>
    <t>штукатуренная стена – более 25 м.</t>
  </si>
  <si>
    <t>plastered wall – up to 8 m.</t>
  </si>
  <si>
    <t>verputzte Wand - bis 8 m.</t>
  </si>
  <si>
    <t>штукатуренная стена – до 8 м.</t>
  </si>
  <si>
    <t>plastered wall – from 8 to 20 m.</t>
  </si>
  <si>
    <t>verputzte Wand - von 8 bis 20 m.</t>
  </si>
  <si>
    <t>штукатуренная стена – от 8 до 20 м.</t>
  </si>
  <si>
    <t>plastered wall – from 20 to 25 m.</t>
  </si>
  <si>
    <t>verputzte Wand - von 20 bis 25 m.</t>
  </si>
  <si>
    <t>plastered wall – above 25 m.</t>
  </si>
  <si>
    <t>verputzte Wand - über 25 m.</t>
  </si>
  <si>
    <t>unplastered garage ceiling</t>
  </si>
  <si>
    <t>unverputzte Garagendecke</t>
  </si>
  <si>
    <t>не штукатуренное гаражное перекрытие</t>
  </si>
  <si>
    <t>plastered garage ceiling</t>
  </si>
  <si>
    <t>verputzte Garagendecke</t>
  </si>
  <si>
    <t>штукатуренное гаражное перекрытие</t>
  </si>
  <si>
    <t>Wall structural material:</t>
  </si>
  <si>
    <t>Konstr.werkstoff der Wand:</t>
  </si>
  <si>
    <t>Материал конструкции стены:</t>
  </si>
  <si>
    <t>Ceiling structural material:</t>
  </si>
  <si>
    <t>Konstruktionswerkstoff der Decke:</t>
  </si>
  <si>
    <t>Материал констр. перекрытия:</t>
  </si>
  <si>
    <t>concrete, blocks, solid brick</t>
  </si>
  <si>
    <t>Beton, Blocksteine, Vollziegel</t>
  </si>
  <si>
    <t>бетон, блоки, сплошной кирпич</t>
  </si>
  <si>
    <t>hollow block, hollow brick</t>
  </si>
  <si>
    <t>Hohlblocksteine, Hohlziegel</t>
  </si>
  <si>
    <t>пустотелые блоки, щелевой кирпич</t>
  </si>
  <si>
    <t>porous hollow brick</t>
  </si>
  <si>
    <t>Hohlblockstein aus poröser Keramik</t>
  </si>
  <si>
    <t>пустотелый блок из пористой керамики</t>
  </si>
  <si>
    <t>cellular concrete blocks</t>
  </si>
  <si>
    <t>Porenbetonblocksteine</t>
  </si>
  <si>
    <t>блоки из ячеистого бетона</t>
  </si>
  <si>
    <t>Insulation material type:</t>
  </si>
  <si>
    <t>Art des Wärmedämmmaterials:</t>
  </si>
  <si>
    <t>Вид материала изоляции:</t>
  </si>
  <si>
    <t xml:space="preserve">mineral wool - lamellas </t>
  </si>
  <si>
    <t>Mineralwolle-Lamellenplatten</t>
  </si>
  <si>
    <t>минеральная – ламельная вата</t>
  </si>
  <si>
    <t>mineral wool - façade board</t>
  </si>
  <si>
    <t>Mineralwolle-Fassadenplatten</t>
  </si>
  <si>
    <t>минеральная – фасадная вата</t>
  </si>
  <si>
    <t>Fasrock L - mineral wool lamellas</t>
  </si>
  <si>
    <t>Lamellenplatten Fasrock L</t>
  </si>
  <si>
    <t>ламельная вата Fasrock L</t>
  </si>
  <si>
    <t xml:space="preserve">Fasrock MAX - façade mineral wool </t>
  </si>
  <si>
    <t>Fassadenplatten Fasrock MAX</t>
  </si>
  <si>
    <t>фасадная вата Fasrock MAX</t>
  </si>
  <si>
    <t>Fasrock - façade mineral wool</t>
  </si>
  <si>
    <t>Fassadenplatten Fasrock</t>
  </si>
  <si>
    <t>фасадная вата Fasrock</t>
  </si>
  <si>
    <t>Amount</t>
  </si>
  <si>
    <t>Verbr.</t>
  </si>
  <si>
    <t>Расход</t>
  </si>
  <si>
    <t>per</t>
  </si>
  <si>
    <t>pro</t>
  </si>
  <si>
    <t>на</t>
  </si>
  <si>
    <t>1м2</t>
  </si>
  <si>
    <t>Unit</t>
  </si>
  <si>
    <t>Einh.</t>
  </si>
  <si>
    <t>Ед.</t>
  </si>
  <si>
    <t>Price</t>
  </si>
  <si>
    <t>Preis</t>
  </si>
  <si>
    <t>Цена</t>
  </si>
  <si>
    <t>Discounts</t>
  </si>
  <si>
    <t>Nachlässe</t>
  </si>
  <si>
    <t>Скидки</t>
  </si>
  <si>
    <t>for items</t>
  </si>
  <si>
    <t>von-Posiiton</t>
  </si>
  <si>
    <t>от позиции</t>
  </si>
  <si>
    <t>Insulation and reinforcing layer material</t>
  </si>
  <si>
    <t>Materialien der Dämm-Armierungsschicht</t>
  </si>
  <si>
    <t>Материалы изоляционного и армирующего слоя</t>
  </si>
  <si>
    <t>Adhesive for bonding</t>
  </si>
  <si>
    <t>Kleber zum Verkleben</t>
  </si>
  <si>
    <t>Клей для приклеивания</t>
  </si>
  <si>
    <t>Reinforcing mesh</t>
  </si>
  <si>
    <t>Armierungsgewebe</t>
  </si>
  <si>
    <t>Армирующая сетка</t>
  </si>
  <si>
    <t>Adhesive for mesh</t>
  </si>
  <si>
    <t>Armierungsmörtel</t>
  </si>
  <si>
    <t>Клей для сетки</t>
  </si>
  <si>
    <t>Façade finishing materials</t>
  </si>
  <si>
    <t>Materialien des Fassadenverputzes</t>
  </si>
  <si>
    <t>Материалы фасадной штукатурки</t>
  </si>
  <si>
    <t>Decorative plaster</t>
  </si>
  <si>
    <t>Dekorativer Putz</t>
  </si>
  <si>
    <t>Штукатурка</t>
  </si>
  <si>
    <t>Charge for plaster colour</t>
  </si>
  <si>
    <t>Zuschlag für Putzfarbe</t>
  </si>
  <si>
    <t>Доплата за цвет штук.</t>
  </si>
  <si>
    <t>Plaster primer</t>
  </si>
  <si>
    <t>Grundierungsmittel</t>
  </si>
  <si>
    <t>Грунтовка под штук.</t>
  </si>
  <si>
    <t>Charge for primer colour</t>
  </si>
  <si>
    <t>Zuschlag für Grundfarbe</t>
  </si>
  <si>
    <t>Доплата за цвет грунт.</t>
  </si>
  <si>
    <t>Façade paint</t>
  </si>
  <si>
    <t>Fassadenfarbe</t>
  </si>
  <si>
    <t>Фасадная краска</t>
  </si>
  <si>
    <t>Charge for paint colour</t>
  </si>
  <si>
    <t>Zuschlag für Farbe</t>
  </si>
  <si>
    <t>Доплата за цвет краски</t>
  </si>
  <si>
    <t>group I – pastel colours (no extra charge)</t>
  </si>
  <si>
    <t>Gruppe I - Pastellfarben (zuschlagsfrei)</t>
  </si>
  <si>
    <t>группа I – пастельные цвета (без доплаты)</t>
  </si>
  <si>
    <t>group IV – priced individually</t>
  </si>
  <si>
    <t>Gruppe IV - Individuelle Einschätzung</t>
  </si>
  <si>
    <t>группа IV - индивидуальный расчет</t>
  </si>
  <si>
    <t>white – no extra charge</t>
  </si>
  <si>
    <t>weiß - zuschlagsfrei</t>
  </si>
  <si>
    <t>белый – без доплаты</t>
  </si>
  <si>
    <t xml:space="preserve">TOTAL: </t>
  </si>
  <si>
    <t>GESAMT:</t>
  </si>
  <si>
    <t>СУММА:</t>
  </si>
  <si>
    <t xml:space="preserve">DISCOUNT PER SYSTEM: </t>
  </si>
  <si>
    <t>NACHLASS AUF DAS SYSTEM:</t>
  </si>
  <si>
    <t>СКИДКА НА СИСТЕМУ:</t>
  </si>
  <si>
    <t>TOTAL ALPOL MATERIAL INCL. DISCOUNT:</t>
  </si>
  <si>
    <t>ALPOL-MATERIALIEN GESAMT INKL. NACHLASS:</t>
  </si>
  <si>
    <t>СУММА МАТЕРИАЛЫ ALPOL СО СКИДКОЙ:</t>
  </si>
  <si>
    <t>DISTRIBUTION:</t>
  </si>
  <si>
    <t>VERTRIEB:</t>
  </si>
  <si>
    <t>ДИСТИБУЦИЯ:</t>
  </si>
  <si>
    <t>Thermal insulation material</t>
  </si>
  <si>
    <t>Material der Wärmedämmschicht</t>
  </si>
  <si>
    <t>Материал термоизоляции</t>
  </si>
  <si>
    <t>anchors and ancillary materials</t>
  </si>
  <si>
    <t>Dübel und ergänzende Produkte</t>
  </si>
  <si>
    <t>соединители и дополнительные материалы</t>
  </si>
  <si>
    <t>Discount</t>
  </si>
  <si>
    <t>Nachlass</t>
  </si>
  <si>
    <t>Скидка</t>
  </si>
  <si>
    <t>Thermal insulation</t>
  </si>
  <si>
    <t>Wärmedämmung</t>
  </si>
  <si>
    <t>Термическая изоляция</t>
  </si>
  <si>
    <t>thickness</t>
  </si>
  <si>
    <t>Stärke</t>
  </si>
  <si>
    <t>толщ.</t>
  </si>
  <si>
    <t>Anchors</t>
  </si>
  <si>
    <t>Dübel</t>
  </si>
  <si>
    <t>Cоединители</t>
  </si>
  <si>
    <t>ohne Dübel</t>
  </si>
  <si>
    <t>без механических соединителей</t>
  </si>
  <si>
    <t>Dübel mit Einschlagbolzen</t>
  </si>
  <si>
    <t>Соединитель с забиваемым стержнем</t>
  </si>
  <si>
    <t>Dübel mit Schraubbolzen</t>
  </si>
  <si>
    <t>Соединитель с вкручиваемым стержнем</t>
  </si>
  <si>
    <t>min. length</t>
  </si>
  <si>
    <t>Länge min.</t>
  </si>
  <si>
    <t>дл.мин.</t>
  </si>
  <si>
    <t>см</t>
  </si>
  <si>
    <t>Flares</t>
  </si>
  <si>
    <t>Pressflansche</t>
  </si>
  <si>
    <t>Прижимные фланцы</t>
  </si>
  <si>
    <t>Flare Ø 140 mm</t>
  </si>
  <si>
    <t>Pressflansch Ø 140 mm</t>
  </si>
  <si>
    <t>Прижимной фланец Ø 140 мм</t>
  </si>
  <si>
    <t>Ancillary materials</t>
  </si>
  <si>
    <t>Ergänzende Produkte</t>
  </si>
  <si>
    <t>Доп. материалы</t>
  </si>
  <si>
    <t>Estimated price per 1 m2 of insulation</t>
  </si>
  <si>
    <t>Schätzungspreis pro 1 m2 Wärmedämmschicht</t>
  </si>
  <si>
    <t>Oценочная стоимость для 1 м2 площади утепления</t>
  </si>
  <si>
    <t>MATERIAL’S COST AND QUANTITY SPECIFICATION</t>
  </si>
  <si>
    <t>MENGEN-BETRÄGE-AUFSTELLUNG DER MATERIALIEN</t>
  </si>
  <si>
    <t>Сводка количества и стоимости материалов</t>
  </si>
  <si>
    <t>discounted material price, converted to full packages</t>
  </si>
  <si>
    <t>Preise der Materialien inkl. Nachlass, auf Vollverpackungen umgerechnet</t>
  </si>
  <si>
    <t>цены материалов со скидкой, после пересчета на полные упаковки</t>
  </si>
  <si>
    <t>Material per</t>
  </si>
  <si>
    <t>Materialien pro</t>
  </si>
  <si>
    <t>Материалы для</t>
  </si>
  <si>
    <t>m2 of insulation</t>
  </si>
  <si>
    <t>m2 der Wärmedämmschicht</t>
  </si>
  <si>
    <t>м2 площади утепления</t>
  </si>
  <si>
    <t>Quant.</t>
  </si>
  <si>
    <t>Anz.</t>
  </si>
  <si>
    <t>Кол.</t>
  </si>
  <si>
    <t>Value</t>
  </si>
  <si>
    <t>Wert</t>
  </si>
  <si>
    <t>Стоимость</t>
  </si>
  <si>
    <t>Estimated value per</t>
  </si>
  <si>
    <t>Schätzungswert pro</t>
  </si>
  <si>
    <t>оценочная стоимость для</t>
  </si>
  <si>
    <t>m2 insulation</t>
  </si>
  <si>
    <t>m2 der Wärmedämmsch</t>
  </si>
  <si>
    <t>мm2 пл. yтепления</t>
  </si>
  <si>
    <t>Note: the calculation includes no extra charges</t>
  </si>
  <si>
    <t>Achtung: In der Kalkulation sind keine Zuschläge enthalten</t>
  </si>
  <si>
    <t>Примечание: Калькуляция не учитывает доплат</t>
  </si>
  <si>
    <t>for plaster, primer and paint of the IV group</t>
  </si>
  <si>
    <t>für Produkte in der Farbgruppe IV</t>
  </si>
  <si>
    <t>для продуктов цветом из IV группы</t>
  </si>
  <si>
    <t>- without paint</t>
  </si>
  <si>
    <t>- exkl. Farbe</t>
  </si>
  <si>
    <t>- без краски</t>
  </si>
  <si>
    <t>AF 660 - Silicate façade paint x 2</t>
  </si>
  <si>
    <t>AF 660 - Silikat-Fassadenfarbe</t>
  </si>
  <si>
    <t>AF 660 - Силикатная фасадная краска x 2</t>
  </si>
  <si>
    <t>AF 680 - Silicon façade paint x 2</t>
  </si>
  <si>
    <t>AF 680 - Silikon-Fassadenfarbe</t>
  </si>
  <si>
    <t>AF 680 - Силиконовая фасадная краска x 2</t>
  </si>
  <si>
    <t>AG 701 - Primer for mineral plasters</t>
  </si>
  <si>
    <t>AG 701 - Putzgrund weiß</t>
  </si>
  <si>
    <t xml:space="preserve">AG 701 - Подштукатурная грунтовка белая </t>
  </si>
  <si>
    <t>AG 706 - Primer for silicate plasters</t>
  </si>
  <si>
    <t>AG 706 - Putzgrund für Silikatputze</t>
  </si>
  <si>
    <t xml:space="preserve">AG 706 - Грунтовка под силикатные штукатурки </t>
  </si>
  <si>
    <t>AK 531 - White adhesive for insulation systems</t>
  </si>
  <si>
    <t>AK 531 - Kleber für Wärmedämm weiß</t>
  </si>
  <si>
    <t xml:space="preserve">AK 531 - Клей для утепления белый </t>
  </si>
  <si>
    <t>AK 533 - Adhesive for mineral wool insulation systems</t>
  </si>
  <si>
    <t>AK 533 - Kleber für Wärmedämm mit Mineralwolle</t>
  </si>
  <si>
    <t>AK 533 - Клей для утепления минеральной ватой</t>
  </si>
  <si>
    <t>AK 534 - Winter adhesive for insulation systems</t>
  </si>
  <si>
    <t>AK 534 - Kleber für Wärmedämm für wintereinsatz</t>
  </si>
  <si>
    <t>AK 534 - Клей для утепления зимний</t>
  </si>
  <si>
    <t>- without decorative plaster (garage system)</t>
  </si>
  <si>
    <t>- exkl. Dekorativer Putz (Garagendecke)</t>
  </si>
  <si>
    <t>- без штукатурки (гаражное перекрытие)</t>
  </si>
  <si>
    <t>AT 320 - White mineral dashed plaster 1,5 mm</t>
  </si>
  <si>
    <t>AT 320 - Mineralischer Scheibenputz weiß 1,5 mm</t>
  </si>
  <si>
    <t>AT 320 - Минеральная белая - шуба 1,5 мм</t>
  </si>
  <si>
    <t>AT 321 - White mineral pitted plaster 2 mm</t>
  </si>
  <si>
    <t>AT 321 - Mineralischer Rillenputz weiß 2 mm</t>
  </si>
  <si>
    <t>AT 321 - Минеральная белая - короед  2 мм</t>
  </si>
  <si>
    <t>AT 322 - White mineral pitted plaster 3 mm</t>
  </si>
  <si>
    <t>AT 322 - Mineralischer Rillenputz weiß 3 mm</t>
  </si>
  <si>
    <t>AT 322 - Минеральная белая - короед  3 мм</t>
  </si>
  <si>
    <t>AT 325 - Ultra-white mineral dashed plaster 1,5 mm</t>
  </si>
  <si>
    <t>AT 325 - Mineralischer Scheibenputz extra weiß 1,5 mm</t>
  </si>
  <si>
    <t>AT 325 - Минеральная экстра, белая - шуба 1,5 мм</t>
  </si>
  <si>
    <t>AT 326 - Ultra-white mineral dashed plaster 2 mm</t>
  </si>
  <si>
    <t>AT 326 - Mineralischer Scheibenputz extra weiß 2 mm</t>
  </si>
  <si>
    <t>AT 326 - Минеральная экстра, белая - шуба 2 мм</t>
  </si>
  <si>
    <t>AT 327 - Ultra-white mineral dashed plaster 2,5 mm</t>
  </si>
  <si>
    <t>AT 327 - Mineralischer Scheibenputz extra weiß 2,5 mm</t>
  </si>
  <si>
    <t>AT 327 - Минеральная экстра, белая - шуба 2,5 мм</t>
  </si>
  <si>
    <t>AT 330 - Grey mineral dashed plaster 1,5 mm</t>
  </si>
  <si>
    <t>AT 330 - Mineralischer Scheibenputz grau 1,5 mm</t>
  </si>
  <si>
    <t>AT 330 - Минеральная серая - шуба 1,5 мм</t>
  </si>
  <si>
    <t>AT 331 - Grey mineral pitted plaster 2 mm</t>
  </si>
  <si>
    <t>AT 331 - Mineralischer Rillenputz grau 2 mm</t>
  </si>
  <si>
    <t>AT 331 - Минеральная серая - короед 2 мм</t>
  </si>
  <si>
    <t>AT 332 - Grey mineral pitted plaster 3 mm</t>
  </si>
  <si>
    <t>AT 332 - Mineralischer Rillenputz grau 3 mm</t>
  </si>
  <si>
    <t>AT 332 - Минеральная серая - короед 3 мм</t>
  </si>
  <si>
    <t>AT 336 - Grey mineral pebble dash plaster 2 mm</t>
  </si>
  <si>
    <t>AT 336 - Mineralischer Scheibenputz grau 2 mm</t>
  </si>
  <si>
    <t>AT 336 - Минеральная экстра, серая - шуба 2 мм</t>
  </si>
  <si>
    <t>AT 338 - Grey mineral pebble dash plaster 3 mm</t>
  </si>
  <si>
    <t>AT 338 - Mineralischer Scheibenputz grau 3 mm</t>
  </si>
  <si>
    <t>AT 338 - Минеральная экстра, серая - шуба 3 мм</t>
  </si>
  <si>
    <t>AT 370 - Silicate and silicone dashed plaster 1 mm</t>
  </si>
  <si>
    <t>AT 370 - Silikat - Silikonharz Scheibenputz 1 mm</t>
  </si>
  <si>
    <t>AT 370 - Cиликат-силиконовaя - шуба 1 мм</t>
  </si>
  <si>
    <t>AT 371 - Silicate and silicone dashed plaster 1,5 mm</t>
  </si>
  <si>
    <t>AT 371 - Silikat - Silikonharz Scheibenputz 1,5 mm</t>
  </si>
  <si>
    <t>AT 371 - Cиликат-силиконовaя - шуба 1,5 мм</t>
  </si>
  <si>
    <t>AT 372 - Silicate and silicone dashed plaster 2 mm</t>
  </si>
  <si>
    <t>AT 372 - Silikat - Silikonharz Scheibenputz 2 mm</t>
  </si>
  <si>
    <t>AT 372 - Cиликат-силиконовaя - шуба 2 мм</t>
  </si>
  <si>
    <t>AT 376 - Silicate and silicone pitted plaster 1,5 mm</t>
  </si>
  <si>
    <t>AT 376 - Silikat - Silikonharz Rillenputz 1,5 mm</t>
  </si>
  <si>
    <t>AT 376 - Cиликат-силиконовaя - короед 1,5 мм</t>
  </si>
  <si>
    <t>AT 377 - Silicate and silicone pitted plaster 2 mm</t>
  </si>
  <si>
    <t>AT 377 - Silikat - Silikonharz Rillenputz 2 mm</t>
  </si>
  <si>
    <t>AT 377 - Cиликат-силиконовaя - короед 2 мм</t>
  </si>
  <si>
    <t>AT 378 - Silicate and silicone pitted plaster 2,5 mm</t>
  </si>
  <si>
    <t>AT 378 - Silikat - Silikonharz Rillenputz 2,5 mm</t>
  </si>
  <si>
    <t>AT 378 - Cиликат-силиконовaя - короед 2,5 мм</t>
  </si>
  <si>
    <t>ALPOL 145 - Glass fibre mesh</t>
  </si>
  <si>
    <t>ALPOL 145 - Armierungsgewebe</t>
  </si>
  <si>
    <t>ALPOL 145 - Подштукатурная сетка</t>
  </si>
  <si>
    <t>VERTEX AKE 145A - Glass fibre mesh</t>
  </si>
  <si>
    <t>VERTEX AKE 145A - Armierungsgewebe</t>
  </si>
  <si>
    <t>VERTEX AKE 145A - Подштукатурная сетка</t>
  </si>
  <si>
    <t>plasters primers paints group IV</t>
  </si>
  <si>
    <t>Putze Grund.mit. Farben Gruppe IV</t>
  </si>
  <si>
    <t>штукатурки грунтовки краски группа IV</t>
  </si>
  <si>
    <t>pc</t>
  </si>
  <si>
    <t>st.</t>
  </si>
  <si>
    <t>шт.</t>
  </si>
  <si>
    <t>1000 pc</t>
  </si>
  <si>
    <t>1000 st.</t>
  </si>
  <si>
    <t>1000 шт.</t>
  </si>
  <si>
    <t>кг</t>
  </si>
  <si>
    <t>м2</t>
  </si>
  <si>
    <t>м3</t>
  </si>
  <si>
    <t>litre</t>
  </si>
  <si>
    <t>liter</t>
  </si>
  <si>
    <t>литр</t>
  </si>
  <si>
    <t>gross price</t>
  </si>
  <si>
    <t>Bruttopreis</t>
  </si>
  <si>
    <t>цены брутто</t>
  </si>
  <si>
    <t>Calculator</t>
  </si>
  <si>
    <t>Rechner</t>
  </si>
  <si>
    <t>Калькулятор</t>
  </si>
  <si>
    <t>Fasrock LL - mineral wool lamellas</t>
  </si>
  <si>
    <t>Lamellenplatten Fasrock LL</t>
  </si>
  <si>
    <t>ламельная вата Fasrock LL</t>
  </si>
  <si>
    <t xml:space="preserve">Fasrock MAX E - façade mineral wool </t>
  </si>
  <si>
    <t>Fassadenplatten Fasrock MAX E</t>
  </si>
  <si>
    <t>фасадная вата Fasrock MAX E</t>
  </si>
  <si>
    <t>AT 320 - Tynk mineralny biały baranek 2 mm</t>
  </si>
  <si>
    <t>AT 330 - Tynk mineralny szary baranek 2 mm</t>
  </si>
  <si>
    <t>EN</t>
  </si>
  <si>
    <t>DE</t>
  </si>
  <si>
    <t>RU</t>
  </si>
  <si>
    <t>PLN netto</t>
  </si>
  <si>
    <t>PLN brutto</t>
  </si>
  <si>
    <t>EUR ExW</t>
  </si>
  <si>
    <t>Kurs PLN / EUR:</t>
  </si>
  <si>
    <t>Exchange PLN / EUR:</t>
  </si>
  <si>
    <t>Wechselkurs PLN / EUR:</t>
  </si>
  <si>
    <t>Курс PLN / EUR:</t>
  </si>
  <si>
    <t>VAT (PL):</t>
  </si>
  <si>
    <t>MwSt.:</t>
  </si>
  <si>
    <t>НДС:</t>
  </si>
  <si>
    <t>Ceny</t>
  </si>
  <si>
    <t>Prices</t>
  </si>
  <si>
    <t>Preise</t>
  </si>
  <si>
    <t>Цены</t>
  </si>
  <si>
    <t>Price-list:</t>
  </si>
  <si>
    <t>Preisliste:</t>
  </si>
  <si>
    <t>Ценник:</t>
  </si>
  <si>
    <t>grupa II - kolory średnio intensywne</t>
  </si>
  <si>
    <t>group II – medium intense colors</t>
  </si>
  <si>
    <t>Gruppe II -Mittel Intensive Farben</t>
  </si>
  <si>
    <t>группа II – среды интенсивные цвета</t>
  </si>
  <si>
    <t>grupa III - kolory ciemne i nasycone</t>
  </si>
  <si>
    <t>group III – dark and saturated colors</t>
  </si>
  <si>
    <t>Gruppe III - Dunkle und Gesättigte Farben</t>
  </si>
  <si>
    <t>группа III – темные и насыщенные цвета</t>
  </si>
  <si>
    <t>grupa I - kolory pastelowe</t>
  </si>
  <si>
    <t>group I – pastel colors</t>
  </si>
  <si>
    <t>Gruppe I - Pastellfarben</t>
  </si>
  <si>
    <t>группа I – пастельные цвета</t>
  </si>
  <si>
    <t>kurs</t>
  </si>
  <si>
    <t>PL 01.04.2011</t>
  </si>
  <si>
    <t>Dopłaty</t>
  </si>
  <si>
    <t>AK 531- Klej do ociepleń BIAŁY</t>
  </si>
  <si>
    <t>AK 534 - Klej do ociepleń ZIMOWY</t>
  </si>
  <si>
    <t>Błędy</t>
  </si>
  <si>
    <t>dł. min.</t>
  </si>
  <si>
    <t>AF</t>
  </si>
  <si>
    <t>Łącznik z trzpieniem stalowym wbijanym</t>
  </si>
  <si>
    <t>Łącznik z trzpieniem stalowym wkręcanym</t>
  </si>
  <si>
    <t>Anchor with a rammed steel pin</t>
  </si>
  <si>
    <t>without anchors</t>
  </si>
  <si>
    <t>Anchor with a screwed steel pin</t>
  </si>
  <si>
    <t>[PLN]</t>
  </si>
  <si>
    <t>Opakowanie</t>
  </si>
  <si>
    <t>Packaging</t>
  </si>
  <si>
    <t>Verpackung</t>
  </si>
  <si>
    <t>Упаковка</t>
  </si>
  <si>
    <t>Ceny netto</t>
  </si>
  <si>
    <t>price Ex Works PL</t>
  </si>
  <si>
    <t>preis Ex Works PL</t>
  </si>
  <si>
    <t>цены Ex Works PL</t>
  </si>
  <si>
    <t>Nazwa produktu ALPOL</t>
  </si>
  <si>
    <t>Product Name ALPOL</t>
  </si>
  <si>
    <t>Produkt Name ALPOL</t>
  </si>
  <si>
    <t>Наименование продукта ALPOL</t>
  </si>
  <si>
    <t>rodzaje wełny lamelowej</t>
  </si>
  <si>
    <t>- wer. 2011.06</t>
  </si>
  <si>
    <t>- ver. 2011.06</t>
  </si>
  <si>
    <t>- Ver. 2011.06</t>
  </si>
  <si>
    <t>- вер. 2011.06</t>
  </si>
  <si>
    <t>Stärke des Dämmplatte [cm]:</t>
  </si>
</sst>
</file>

<file path=xl/styles.xml><?xml version="1.0" encoding="utf-8"?>
<styleSheet xmlns="http://schemas.openxmlformats.org/spreadsheetml/2006/main">
  <numFmts count="4">
    <numFmt numFmtId="164" formatCode="0.0"/>
    <numFmt numFmtId="165" formatCode="dd/mm/yyyy;@"/>
    <numFmt numFmtId="166" formatCode="yyyy/mm/dd;@"/>
    <numFmt numFmtId="167" formatCode="0.0%"/>
  </numFmts>
  <fonts count="3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0"/>
      <color indexed="16"/>
      <name val="Arial"/>
      <family val="2"/>
      <charset val="238"/>
    </font>
    <font>
      <sz val="9"/>
      <color indexed="22"/>
      <name val="Arial"/>
      <family val="2"/>
      <charset val="238"/>
    </font>
    <font>
      <sz val="9"/>
      <color indexed="12"/>
      <name val="Arial"/>
      <family val="2"/>
      <charset val="238"/>
    </font>
    <font>
      <sz val="11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8"/>
      <color indexed="16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color indexed="23"/>
      <name val="Tahoma"/>
      <family val="2"/>
      <charset val="238"/>
    </font>
    <font>
      <sz val="8"/>
      <color indexed="23"/>
      <name val="Arial"/>
      <family val="2"/>
      <charset val="238"/>
    </font>
    <font>
      <b/>
      <sz val="8"/>
      <color indexed="23"/>
      <name val="Tahoma"/>
      <family val="2"/>
      <charset val="238"/>
    </font>
    <font>
      <b/>
      <sz val="10"/>
      <color indexed="23"/>
      <name val="Arial"/>
      <family val="2"/>
      <charset val="238"/>
    </font>
    <font>
      <sz val="10"/>
      <color indexed="23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4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color indexed="24"/>
      <name val="Arial"/>
      <family val="2"/>
      <charset val="238"/>
    </font>
    <font>
      <sz val="10"/>
      <color rgb="FF800000"/>
      <name val="Arial"/>
      <family val="2"/>
      <charset val="238"/>
    </font>
    <font>
      <b/>
      <sz val="10"/>
      <color rgb="FF00206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002060"/>
      </patternFill>
    </fill>
  </fills>
  <borders count="159">
    <border>
      <left/>
      <right/>
      <top/>
      <bottom/>
      <diagonal/>
    </border>
    <border>
      <left/>
      <right/>
      <top/>
      <bottom style="thick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 style="thin">
        <color indexed="55"/>
      </left>
      <right/>
      <top style="thin">
        <color indexed="9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9"/>
      </bottom>
      <diagonal/>
    </border>
    <border>
      <left style="thin">
        <color indexed="55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39"/>
      </left>
      <right style="thin">
        <color indexed="3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55"/>
      </top>
      <bottom/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/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2"/>
      </left>
      <right style="thin">
        <color indexed="22"/>
      </right>
      <top/>
      <bottom style="thin">
        <color indexed="55"/>
      </bottom>
      <diagonal/>
    </border>
    <border>
      <left style="thin">
        <color indexed="22"/>
      </left>
      <right style="thin">
        <color indexed="55"/>
      </right>
      <top/>
      <bottom/>
      <diagonal/>
    </border>
    <border>
      <left style="thin">
        <color indexed="2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/>
      <diagonal/>
    </border>
    <border>
      <left style="thin">
        <color indexed="39"/>
      </left>
      <right style="thin">
        <color indexed="39"/>
      </right>
      <top/>
      <bottom style="thin">
        <color indexed="39"/>
      </bottom>
      <diagonal/>
    </border>
    <border>
      <left style="thin">
        <color indexed="9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ck">
        <color indexed="55"/>
      </right>
      <top style="thin">
        <color indexed="9"/>
      </top>
      <bottom style="thick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55"/>
      </left>
      <right/>
      <top style="thin">
        <color indexed="64"/>
      </top>
      <bottom/>
      <diagonal/>
    </border>
    <border>
      <left style="thick">
        <color indexed="55"/>
      </left>
      <right/>
      <top/>
      <bottom/>
      <diagonal/>
    </border>
    <border>
      <left/>
      <right/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ck">
        <color indexed="55"/>
      </right>
      <top style="thin">
        <color indexed="9"/>
      </top>
      <bottom/>
      <diagonal/>
    </border>
    <border>
      <left style="thick">
        <color indexed="55"/>
      </left>
      <right style="thick">
        <color indexed="55"/>
      </right>
      <top style="thin">
        <color indexed="9"/>
      </top>
      <bottom style="thick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ck">
        <color indexed="55"/>
      </left>
      <right style="thick">
        <color indexed="55"/>
      </right>
      <top style="thin">
        <color indexed="9"/>
      </top>
      <bottom style="thin">
        <color indexed="55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  <border>
      <left/>
      <right/>
      <top style="thick">
        <color indexed="55"/>
      </top>
      <bottom style="thin">
        <color indexed="55"/>
      </bottom>
      <diagonal/>
    </border>
    <border>
      <left style="thin">
        <color indexed="39"/>
      </left>
      <right style="thin">
        <color indexed="12"/>
      </right>
      <top/>
      <bottom style="thin">
        <color indexed="39"/>
      </bottom>
      <diagonal/>
    </border>
    <border>
      <left style="thin">
        <color indexed="55"/>
      </left>
      <right style="thick">
        <color indexed="55"/>
      </right>
      <top/>
      <bottom/>
      <diagonal/>
    </border>
    <border>
      <left style="thin">
        <color indexed="55"/>
      </left>
      <right style="thick">
        <color indexed="55"/>
      </right>
      <top style="thick">
        <color indexed="55"/>
      </top>
      <bottom/>
      <diagonal/>
    </border>
    <border>
      <left style="thin">
        <color indexed="55"/>
      </left>
      <right style="thick">
        <color indexed="55"/>
      </right>
      <top/>
      <bottom style="thin">
        <color indexed="55"/>
      </bottom>
      <diagonal/>
    </border>
    <border>
      <left style="thick">
        <color indexed="55"/>
      </left>
      <right style="thick">
        <color indexed="55"/>
      </right>
      <top/>
      <bottom style="thin">
        <color indexed="55"/>
      </bottom>
      <diagonal/>
    </border>
    <border>
      <left style="thin">
        <color indexed="55"/>
      </left>
      <right style="thick">
        <color indexed="55"/>
      </right>
      <top/>
      <bottom style="thin">
        <color indexed="22"/>
      </bottom>
      <diagonal/>
    </border>
    <border>
      <left style="thin">
        <color indexed="55"/>
      </left>
      <right style="thick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ck">
        <color indexed="55"/>
      </right>
      <top style="thin">
        <color indexed="22"/>
      </top>
      <bottom/>
      <diagonal/>
    </border>
    <border>
      <left style="thin">
        <color indexed="55"/>
      </left>
      <right style="thick">
        <color indexed="55"/>
      </right>
      <top style="thin">
        <color indexed="55"/>
      </top>
      <bottom style="thin">
        <color indexed="9"/>
      </bottom>
      <diagonal/>
    </border>
    <border>
      <left style="thin">
        <color indexed="55"/>
      </left>
      <right style="thick">
        <color indexed="55"/>
      </right>
      <top/>
      <bottom style="thin">
        <color indexed="23"/>
      </bottom>
      <diagonal/>
    </border>
    <border>
      <left style="thin">
        <color indexed="55"/>
      </left>
      <right style="thick">
        <color indexed="55"/>
      </right>
      <top style="thin">
        <color indexed="23"/>
      </top>
      <bottom style="thin">
        <color indexed="22"/>
      </bottom>
      <diagonal/>
    </border>
    <border>
      <left style="thick">
        <color indexed="55"/>
      </left>
      <right style="thick">
        <color indexed="55"/>
      </right>
      <top style="thin">
        <color indexed="23"/>
      </top>
      <bottom style="thin">
        <color indexed="22"/>
      </bottom>
      <diagonal/>
    </border>
    <border>
      <left style="thick">
        <color indexed="55"/>
      </left>
      <right style="thick">
        <color indexed="55"/>
      </right>
      <top/>
      <bottom style="thin">
        <color indexed="22"/>
      </bottom>
      <diagonal/>
    </border>
    <border>
      <left style="thick">
        <color indexed="55"/>
      </left>
      <right style="thick">
        <color indexed="55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64"/>
      </left>
      <right/>
      <top style="thin">
        <color indexed="12"/>
      </top>
      <bottom style="hair">
        <color indexed="12"/>
      </bottom>
      <diagonal/>
    </border>
    <border>
      <left style="thin">
        <color indexed="64"/>
      </left>
      <right/>
      <top style="hair">
        <color indexed="12"/>
      </top>
      <bottom style="hair">
        <color indexed="12"/>
      </bottom>
      <diagonal/>
    </border>
    <border>
      <left style="thin">
        <color indexed="64"/>
      </left>
      <right/>
      <top style="hair">
        <color indexed="12"/>
      </top>
      <bottom style="thin">
        <color indexed="12"/>
      </bottom>
      <diagonal/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39"/>
      </left>
      <right style="thin">
        <color indexed="39"/>
      </right>
      <top/>
      <bottom style="hair">
        <color indexed="12"/>
      </bottom>
      <diagonal/>
    </border>
    <border>
      <left style="thin">
        <color indexed="39"/>
      </left>
      <right style="thin">
        <color indexed="39"/>
      </right>
      <top style="hair">
        <color indexed="12"/>
      </top>
      <bottom style="hair">
        <color indexed="12"/>
      </bottom>
      <diagonal/>
    </border>
    <border>
      <left style="thin">
        <color indexed="39"/>
      </left>
      <right style="thin">
        <color indexed="39"/>
      </right>
      <top style="hair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/>
      <right style="thick">
        <color indexed="55"/>
      </right>
      <top/>
      <bottom/>
      <diagonal/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12"/>
      </left>
      <right style="thin">
        <color indexed="39"/>
      </right>
      <top/>
      <bottom style="hair">
        <color indexed="12"/>
      </bottom>
      <diagonal/>
    </border>
    <border>
      <left style="thin">
        <color indexed="12"/>
      </left>
      <right style="thin">
        <color indexed="39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thin">
        <color indexed="39"/>
      </right>
      <top style="hair">
        <color indexed="12"/>
      </top>
      <bottom style="thin">
        <color indexed="12"/>
      </bottom>
      <diagonal/>
    </border>
    <border>
      <left/>
      <right/>
      <top/>
      <bottom style="thin">
        <color indexed="9"/>
      </bottom>
      <diagonal/>
    </border>
    <border>
      <left style="thin">
        <color indexed="55"/>
      </left>
      <right/>
      <top style="thin">
        <color indexed="9"/>
      </top>
      <bottom style="thin">
        <color indexed="22"/>
      </bottom>
      <diagonal/>
    </border>
    <border>
      <left style="thin">
        <color indexed="9"/>
      </left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9"/>
      </top>
      <bottom style="thin">
        <color indexed="55"/>
      </bottom>
      <diagonal/>
    </border>
    <border>
      <left/>
      <right style="thin">
        <color indexed="22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9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55"/>
      </left>
      <right style="thin">
        <color indexed="22"/>
      </right>
      <top style="thin">
        <color indexed="55"/>
      </top>
      <bottom/>
      <diagonal/>
    </border>
    <border>
      <left style="thin">
        <color indexed="55"/>
      </left>
      <right style="thin">
        <color indexed="22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 style="thin">
        <color indexed="55"/>
      </right>
      <top style="thin">
        <color indexed="55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55"/>
      </left>
      <right/>
      <top/>
      <bottom style="thin">
        <color indexed="9"/>
      </bottom>
      <diagonal/>
    </border>
    <border>
      <left style="thick">
        <color indexed="55"/>
      </left>
      <right style="thick">
        <color indexed="55"/>
      </right>
      <top style="thick">
        <color indexed="55"/>
      </top>
      <bottom/>
      <diagonal/>
    </border>
    <border>
      <left style="thick">
        <color indexed="55"/>
      </left>
      <right style="thick">
        <color indexed="55"/>
      </right>
      <top/>
      <bottom style="thin">
        <color indexed="23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/>
      <top style="thin">
        <color indexed="9"/>
      </top>
      <bottom style="thin">
        <color indexed="9"/>
      </bottom>
      <diagonal/>
    </border>
    <border>
      <left style="thick">
        <color indexed="55"/>
      </left>
      <right style="thick">
        <color indexed="55"/>
      </right>
      <top/>
      <bottom/>
      <diagonal/>
    </border>
    <border>
      <left style="thin">
        <color indexed="9"/>
      </left>
      <right/>
      <top style="thin">
        <color indexed="55"/>
      </top>
      <bottom/>
      <diagonal/>
    </border>
    <border>
      <left style="thin">
        <color indexed="22"/>
      </left>
      <right/>
      <top style="thin">
        <color indexed="55"/>
      </top>
      <bottom style="thin">
        <color indexed="9"/>
      </bottom>
      <diagonal/>
    </border>
    <border>
      <left/>
      <right/>
      <top style="thin">
        <color indexed="55"/>
      </top>
      <bottom style="thin">
        <color indexed="9"/>
      </bottom>
      <diagonal/>
    </border>
    <border>
      <left/>
      <right style="thin">
        <color indexed="55"/>
      </right>
      <top style="thin">
        <color indexed="55"/>
      </top>
      <bottom style="thin">
        <color indexed="9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/>
      <top style="thin">
        <color indexed="9"/>
      </top>
      <bottom style="thin">
        <color indexed="55"/>
      </bottom>
      <diagonal/>
    </border>
    <border>
      <left/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55"/>
      </bottom>
      <diagonal/>
    </border>
    <border>
      <left/>
      <right style="thin">
        <color indexed="22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22"/>
      </top>
      <bottom style="thin">
        <color indexed="55"/>
      </bottom>
      <diagonal/>
    </border>
    <border>
      <left/>
      <right style="thin">
        <color indexed="55"/>
      </right>
      <top style="thin">
        <color indexed="22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55"/>
      </left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22"/>
      </right>
      <top style="thin">
        <color indexed="9"/>
      </top>
      <bottom/>
      <diagonal/>
    </border>
    <border>
      <left style="thin">
        <color indexed="22"/>
      </left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/>
      <top style="thin">
        <color indexed="22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22"/>
      </bottom>
      <diagonal/>
    </border>
    <border>
      <left/>
      <right/>
      <top style="thin">
        <color indexed="9"/>
      </top>
      <bottom style="thin">
        <color indexed="22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55"/>
      </bottom>
      <diagonal/>
    </border>
    <border>
      <left style="thin">
        <color indexed="9"/>
      </left>
      <right/>
      <top style="thin">
        <color indexed="22"/>
      </top>
      <bottom style="thin">
        <color indexed="9"/>
      </bottom>
      <diagonal/>
    </border>
    <border>
      <left/>
      <right/>
      <top style="thin">
        <color indexed="22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55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ck">
        <color indexed="55"/>
      </right>
      <top style="thin">
        <color theme="0" tint="-0.14996795556505021"/>
      </top>
      <bottom style="thick">
        <color indexed="55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ck">
        <color indexed="55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indexed="55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12"/>
      </left>
      <right style="thin">
        <color indexed="39"/>
      </right>
      <top style="thin">
        <color indexed="12"/>
      </top>
      <bottom/>
      <diagonal/>
    </border>
    <border>
      <left style="thin">
        <color indexed="12"/>
      </left>
      <right style="thin">
        <color indexed="39"/>
      </right>
      <top/>
      <bottom style="thin">
        <color indexed="12"/>
      </bottom>
      <diagonal/>
    </border>
  </borders>
  <cellStyleXfs count="1">
    <xf numFmtId="0" fontId="0" fillId="0" borderId="0"/>
  </cellStyleXfs>
  <cellXfs count="4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5" fillId="2" borderId="3" xfId="0" applyFont="1" applyFill="1" applyBorder="1"/>
    <xf numFmtId="2" fontId="5" fillId="2" borderId="4" xfId="0" applyNumberFormat="1" applyFont="1" applyFill="1" applyBorder="1" applyAlignment="1">
      <alignment horizontal="center"/>
    </xf>
    <xf numFmtId="2" fontId="5" fillId="2" borderId="4" xfId="0" applyNumberFormat="1" applyFont="1" applyFill="1" applyBorder="1"/>
    <xf numFmtId="2" fontId="5" fillId="2" borderId="5" xfId="0" applyNumberFormat="1" applyFont="1" applyFill="1" applyBorder="1"/>
    <xf numFmtId="2" fontId="5" fillId="2" borderId="6" xfId="0" applyNumberFormat="1" applyFont="1" applyFill="1" applyBorder="1"/>
    <xf numFmtId="2" fontId="5" fillId="2" borderId="7" xfId="0" applyNumberFormat="1" applyFont="1" applyFill="1" applyBorder="1"/>
    <xf numFmtId="0" fontId="5" fillId="2" borderId="3" xfId="0" applyFont="1" applyFill="1" applyBorder="1" applyAlignment="1">
      <alignment horizontal="right"/>
    </xf>
    <xf numFmtId="2" fontId="5" fillId="2" borderId="3" xfId="0" applyNumberFormat="1" applyFont="1" applyFill="1" applyBorder="1" applyAlignment="1">
      <alignment horizontal="center"/>
    </xf>
    <xf numFmtId="2" fontId="5" fillId="2" borderId="8" xfId="0" applyNumberFormat="1" applyFont="1" applyFill="1" applyBorder="1"/>
    <xf numFmtId="165" fontId="5" fillId="0" borderId="0" xfId="0" applyNumberFormat="1" applyFont="1" applyBorder="1"/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164" fontId="7" fillId="0" borderId="9" xfId="0" applyNumberFormat="1" applyFont="1" applyBorder="1" applyProtection="1">
      <protection locked="0"/>
    </xf>
    <xf numFmtId="4" fontId="7" fillId="2" borderId="10" xfId="0" applyNumberFormat="1" applyFont="1" applyFill="1" applyBorder="1"/>
    <xf numFmtId="0" fontId="11" fillId="0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4" fontId="11" fillId="0" borderId="13" xfId="0" applyNumberFormat="1" applyFont="1" applyFill="1" applyBorder="1" applyAlignment="1">
      <alignment horizontal="right"/>
    </xf>
    <xf numFmtId="2" fontId="11" fillId="0" borderId="11" xfId="0" applyNumberFormat="1" applyFont="1" applyBorder="1"/>
    <xf numFmtId="2" fontId="11" fillId="0" borderId="12" xfId="0" applyNumberFormat="1" applyFont="1" applyBorder="1"/>
    <xf numFmtId="0" fontId="5" fillId="2" borderId="3" xfId="0" applyFont="1" applyFill="1" applyBorder="1" applyAlignment="1">
      <alignment horizontal="center"/>
    </xf>
    <xf numFmtId="1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>
      <alignment horizontal="left" vertical="center"/>
    </xf>
    <xf numFmtId="4" fontId="11" fillId="0" borderId="16" xfId="0" applyNumberFormat="1" applyFont="1" applyBorder="1"/>
    <xf numFmtId="4" fontId="11" fillId="0" borderId="17" xfId="0" applyNumberFormat="1" applyFont="1" applyFill="1" applyBorder="1" applyAlignment="1">
      <alignment horizontal="right"/>
    </xf>
    <xf numFmtId="4" fontId="11" fillId="0" borderId="18" xfId="0" applyNumberFormat="1" applyFont="1" applyFill="1" applyBorder="1" applyAlignment="1">
      <alignment horizontal="right"/>
    </xf>
    <xf numFmtId="0" fontId="11" fillId="0" borderId="11" xfId="0" applyFont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/>
    </xf>
    <xf numFmtId="2" fontId="5" fillId="2" borderId="21" xfId="0" applyNumberFormat="1" applyFont="1" applyFill="1" applyBorder="1"/>
    <xf numFmtId="2" fontId="5" fillId="2" borderId="21" xfId="0" applyNumberFormat="1" applyFont="1" applyFill="1" applyBorder="1" applyAlignment="1">
      <alignment horizontal="center"/>
    </xf>
    <xf numFmtId="2" fontId="5" fillId="2" borderId="22" xfId="0" applyNumberFormat="1" applyFont="1" applyFill="1" applyBorder="1"/>
    <xf numFmtId="2" fontId="5" fillId="2" borderId="22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/>
    <xf numFmtId="0" fontId="3" fillId="4" borderId="0" xfId="0" applyFont="1" applyFill="1"/>
    <xf numFmtId="0" fontId="0" fillId="4" borderId="0" xfId="0" applyFill="1"/>
    <xf numFmtId="0" fontId="3" fillId="5" borderId="0" xfId="0" applyFont="1" applyFill="1"/>
    <xf numFmtId="0" fontId="0" fillId="5" borderId="0" xfId="0" applyFill="1"/>
    <xf numFmtId="0" fontId="3" fillId="6" borderId="0" xfId="0" applyFont="1" applyFill="1"/>
    <xf numFmtId="166" fontId="5" fillId="2" borderId="0" xfId="0" applyNumberFormat="1" applyFont="1" applyFill="1" applyBorder="1"/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5" fillId="2" borderId="23" xfId="0" applyNumberFormat="1" applyFont="1" applyFill="1" applyBorder="1"/>
    <xf numFmtId="2" fontId="3" fillId="4" borderId="0" xfId="0" applyNumberFormat="1" applyFont="1" applyFill="1" applyAlignment="1">
      <alignment horizontal="right"/>
    </xf>
    <xf numFmtId="2" fontId="0" fillId="4" borderId="0" xfId="0" applyNumberFormat="1" applyFill="1" applyAlignment="1">
      <alignment horizontal="right"/>
    </xf>
    <xf numFmtId="2" fontId="3" fillId="5" borderId="0" xfId="0" applyNumberFormat="1" applyFont="1" applyFill="1" applyAlignment="1">
      <alignment horizontal="right"/>
    </xf>
    <xf numFmtId="2" fontId="0" fillId="5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7" borderId="24" xfId="0" applyFill="1" applyBorder="1" applyAlignment="1">
      <alignment horizontal="right"/>
    </xf>
    <xf numFmtId="0" fontId="0" fillId="8" borderId="0" xfId="0" applyFill="1"/>
    <xf numFmtId="0" fontId="0" fillId="8" borderId="0" xfId="0" applyFill="1" applyBorder="1"/>
    <xf numFmtId="0" fontId="0" fillId="8" borderId="0" xfId="0" applyFill="1" applyAlignment="1">
      <alignment vertical="center"/>
    </xf>
    <xf numFmtId="0" fontId="10" fillId="8" borderId="0" xfId="0" applyFont="1" applyFill="1" applyBorder="1" applyAlignment="1"/>
    <xf numFmtId="0" fontId="10" fillId="8" borderId="0" xfId="0" applyFont="1" applyFill="1" applyAlignment="1"/>
    <xf numFmtId="0" fontId="10" fillId="8" borderId="0" xfId="0" applyFont="1" applyFill="1" applyBorder="1"/>
    <xf numFmtId="0" fontId="10" fillId="8" borderId="0" xfId="0" applyFont="1" applyFill="1"/>
    <xf numFmtId="0" fontId="11" fillId="8" borderId="0" xfId="0" applyFont="1" applyFill="1" applyAlignment="1">
      <alignment vertical="center"/>
    </xf>
    <xf numFmtId="0" fontId="11" fillId="8" borderId="0" xfId="0" applyFont="1" applyFill="1"/>
    <xf numFmtId="0" fontId="0" fillId="0" borderId="0" xfId="0" applyFill="1" applyBorder="1"/>
    <xf numFmtId="0" fontId="6" fillId="2" borderId="25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vertical="top" wrapText="1"/>
    </xf>
    <xf numFmtId="164" fontId="5" fillId="2" borderId="26" xfId="0" applyNumberFormat="1" applyFont="1" applyFill="1" applyBorder="1" applyAlignment="1" applyProtection="1">
      <alignment horizontal="right"/>
    </xf>
    <xf numFmtId="0" fontId="0" fillId="2" borderId="27" xfId="0" applyFill="1" applyBorder="1" applyAlignment="1">
      <alignment horizontal="center"/>
    </xf>
    <xf numFmtId="166" fontId="5" fillId="0" borderId="0" xfId="0" applyNumberFormat="1" applyFont="1" applyFill="1" applyBorder="1"/>
    <xf numFmtId="0" fontId="11" fillId="0" borderId="29" xfId="0" applyFont="1" applyBorder="1" applyAlignment="1"/>
    <xf numFmtId="4" fontId="11" fillId="0" borderId="30" xfId="0" applyNumberFormat="1" applyFont="1" applyFill="1" applyBorder="1" applyAlignment="1">
      <alignment horizontal="right"/>
    </xf>
    <xf numFmtId="2" fontId="11" fillId="0" borderId="12" xfId="0" applyNumberFormat="1" applyFont="1" applyFill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4" fontId="11" fillId="0" borderId="12" xfId="0" applyNumberFormat="1" applyFont="1" applyBorder="1"/>
    <xf numFmtId="2" fontId="5" fillId="0" borderId="31" xfId="0" applyNumberFormat="1" applyFont="1" applyFill="1" applyBorder="1" applyProtection="1">
      <protection locked="0"/>
    </xf>
    <xf numFmtId="1" fontId="5" fillId="2" borderId="32" xfId="0" applyNumberFormat="1" applyFont="1" applyFill="1" applyBorder="1"/>
    <xf numFmtId="167" fontId="5" fillId="0" borderId="0" xfId="0" applyNumberFormat="1" applyFont="1" applyFill="1"/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/>
    <xf numFmtId="0" fontId="16" fillId="8" borderId="0" xfId="0" applyFont="1" applyFill="1"/>
    <xf numFmtId="0" fontId="0" fillId="0" borderId="0" xfId="0" applyAlignment="1"/>
    <xf numFmtId="0" fontId="0" fillId="0" borderId="0" xfId="0" applyBorder="1" applyAlignment="1"/>
    <xf numFmtId="0" fontId="11" fillId="0" borderId="0" xfId="0" applyFont="1" applyFill="1"/>
    <xf numFmtId="2" fontId="5" fillId="2" borderId="33" xfId="0" applyNumberFormat="1" applyFont="1" applyFill="1" applyBorder="1"/>
    <xf numFmtId="2" fontId="5" fillId="2" borderId="34" xfId="0" applyNumberFormat="1" applyFont="1" applyFill="1" applyBorder="1"/>
    <xf numFmtId="0" fontId="2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2" fontId="5" fillId="2" borderId="38" xfId="0" applyNumberFormat="1" applyFont="1" applyFill="1" applyBorder="1"/>
    <xf numFmtId="0" fontId="15" fillId="2" borderId="39" xfId="0" applyFont="1" applyFill="1" applyBorder="1" applyProtection="1"/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0" xfId="0" applyBorder="1" applyAlignment="1">
      <alignment horizontal="center"/>
    </xf>
    <xf numFmtId="167" fontId="0" fillId="0" borderId="41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5" fillId="0" borderId="42" xfId="0" applyNumberFormat="1" applyFont="1" applyFill="1" applyBorder="1"/>
    <xf numFmtId="167" fontId="5" fillId="0" borderId="43" xfId="0" applyNumberFormat="1" applyFont="1" applyFill="1" applyBorder="1"/>
    <xf numFmtId="0" fontId="3" fillId="8" borderId="1" xfId="0" applyFont="1" applyFill="1" applyBorder="1" applyAlignment="1">
      <alignment horizontal="center" vertical="center"/>
    </xf>
    <xf numFmtId="0" fontId="0" fillId="7" borderId="24" xfId="0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/>
    <xf numFmtId="0" fontId="0" fillId="0" borderId="0" xfId="0" applyNumberFormat="1" applyBorder="1"/>
    <xf numFmtId="0" fontId="0" fillId="0" borderId="0" xfId="0" applyBorder="1" applyAlignment="1">
      <alignment horizontal="left"/>
    </xf>
    <xf numFmtId="0" fontId="3" fillId="10" borderId="0" xfId="0" applyFont="1" applyFill="1" applyBorder="1" applyAlignment="1">
      <alignment horizontal="right"/>
    </xf>
    <xf numFmtId="0" fontId="3" fillId="10" borderId="0" xfId="0" applyFont="1" applyFill="1" applyBorder="1" applyAlignment="1">
      <alignment horizontal="center"/>
    </xf>
    <xf numFmtId="0" fontId="0" fillId="10" borderId="0" xfId="0" applyFill="1" applyBorder="1"/>
    <xf numFmtId="0" fontId="0" fillId="11" borderId="0" xfId="0" applyFill="1" applyBorder="1"/>
    <xf numFmtId="0" fontId="3" fillId="11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left"/>
    </xf>
    <xf numFmtId="1" fontId="0" fillId="0" borderId="44" xfId="0" applyNumberFormat="1" applyBorder="1" applyAlignment="1">
      <alignment horizontal="center"/>
    </xf>
    <xf numFmtId="0" fontId="4" fillId="6" borderId="0" xfId="0" applyFont="1" applyFill="1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11" borderId="0" xfId="0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0" fillId="2" borderId="46" xfId="0" applyFill="1" applyBorder="1"/>
    <xf numFmtId="0" fontId="10" fillId="0" borderId="0" xfId="0" applyFont="1" applyFill="1"/>
    <xf numFmtId="0" fontId="0" fillId="0" borderId="35" xfId="0" applyBorder="1"/>
    <xf numFmtId="167" fontId="14" fillId="2" borderId="39" xfId="0" applyNumberFormat="1" applyFont="1" applyFill="1" applyBorder="1" applyAlignment="1">
      <alignment horizontal="right"/>
    </xf>
    <xf numFmtId="0" fontId="5" fillId="2" borderId="47" xfId="0" applyFont="1" applyFill="1" applyBorder="1" applyAlignment="1">
      <alignment horizontal="right"/>
    </xf>
    <xf numFmtId="167" fontId="5" fillId="2" borderId="47" xfId="0" applyNumberFormat="1" applyFont="1" applyFill="1" applyBorder="1" applyAlignment="1">
      <alignment horizontal="right"/>
    </xf>
    <xf numFmtId="0" fontId="15" fillId="2" borderId="48" xfId="0" applyFont="1" applyFill="1" applyBorder="1" applyProtection="1"/>
    <xf numFmtId="2" fontId="5" fillId="2" borderId="6" xfId="0" applyNumberFormat="1" applyFont="1" applyFill="1" applyBorder="1" applyProtection="1"/>
    <xf numFmtId="2" fontId="5" fillId="2" borderId="49" xfId="0" applyNumberFormat="1" applyFont="1" applyFill="1" applyBorder="1" applyProtection="1"/>
    <xf numFmtId="2" fontId="5" fillId="0" borderId="50" xfId="0" applyNumberFormat="1" applyFont="1" applyFill="1" applyBorder="1" applyProtection="1">
      <protection locked="0"/>
    </xf>
    <xf numFmtId="0" fontId="0" fillId="2" borderId="51" xfId="0" applyFill="1" applyBorder="1"/>
    <xf numFmtId="0" fontId="0" fillId="2" borderId="48" xfId="0" applyFill="1" applyBorder="1"/>
    <xf numFmtId="0" fontId="4" fillId="0" borderId="52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4" fillId="0" borderId="0" xfId="0" applyFont="1" applyFill="1"/>
    <xf numFmtId="0" fontId="6" fillId="2" borderId="21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0" fillId="8" borderId="55" xfId="0" applyFill="1" applyBorder="1"/>
    <xf numFmtId="0" fontId="0" fillId="0" borderId="0" xfId="0" applyFill="1" applyAlignment="1">
      <alignment horizontal="right"/>
    </xf>
    <xf numFmtId="0" fontId="0" fillId="2" borderId="24" xfId="0" applyFill="1" applyBorder="1" applyAlignment="1"/>
    <xf numFmtId="0" fontId="3" fillId="2" borderId="24" xfId="0" applyFont="1" applyFill="1" applyBorder="1" applyAlignment="1"/>
    <xf numFmtId="0" fontId="3" fillId="2" borderId="24" xfId="0" applyFont="1" applyFill="1" applyBorder="1" applyAlignment="1">
      <alignment horizontal="center"/>
    </xf>
    <xf numFmtId="0" fontId="0" fillId="7" borderId="37" xfId="0" applyFill="1" applyBorder="1" applyAlignment="1"/>
    <xf numFmtId="0" fontId="0" fillId="7" borderId="37" xfId="0" applyFill="1" applyBorder="1" applyAlignment="1">
      <alignment horizontal="right"/>
    </xf>
    <xf numFmtId="0" fontId="0" fillId="7" borderId="56" xfId="0" applyFill="1" applyBorder="1" applyAlignment="1"/>
    <xf numFmtId="0" fontId="4" fillId="7" borderId="24" xfId="0" quotePrefix="1" applyFont="1" applyFill="1" applyBorder="1"/>
    <xf numFmtId="2" fontId="4" fillId="7" borderId="24" xfId="0" applyNumberFormat="1" applyFont="1" applyFill="1" applyBorder="1" applyAlignment="1">
      <alignment horizontal="right"/>
    </xf>
    <xf numFmtId="1" fontId="4" fillId="7" borderId="24" xfId="0" applyNumberFormat="1" applyFont="1" applyFill="1" applyBorder="1" applyAlignment="1">
      <alignment horizontal="center"/>
    </xf>
    <xf numFmtId="0" fontId="4" fillId="7" borderId="24" xfId="0" applyFont="1" applyFill="1" applyBorder="1" applyAlignment="1">
      <alignment horizontal="right"/>
    </xf>
    <xf numFmtId="0" fontId="1" fillId="12" borderId="35" xfId="0" applyFont="1" applyFill="1" applyBorder="1" applyAlignment="1">
      <alignment horizontal="center"/>
    </xf>
    <xf numFmtId="0" fontId="25" fillId="12" borderId="35" xfId="0" applyFont="1" applyFill="1" applyBorder="1" applyAlignment="1">
      <alignment horizontal="center"/>
    </xf>
    <xf numFmtId="0" fontId="1" fillId="8" borderId="0" xfId="0" applyFont="1" applyFill="1"/>
    <xf numFmtId="0" fontId="6" fillId="11" borderId="57" xfId="0" applyFont="1" applyFill="1" applyBorder="1" applyAlignment="1">
      <alignment horizontal="center" vertical="center" wrapText="1"/>
    </xf>
    <xf numFmtId="0" fontId="8" fillId="11" borderId="58" xfId="0" applyFont="1" applyFill="1" applyBorder="1" applyAlignment="1">
      <alignment horizontal="center" vertical="center" wrapText="1"/>
    </xf>
    <xf numFmtId="0" fontId="3" fillId="11" borderId="59" xfId="0" applyFont="1" applyFill="1" applyBorder="1" applyAlignment="1">
      <alignment horizontal="center" vertical="top"/>
    </xf>
    <xf numFmtId="0" fontId="24" fillId="11" borderId="60" xfId="0" applyFont="1" applyFill="1" applyBorder="1"/>
    <xf numFmtId="167" fontId="15" fillId="0" borderId="61" xfId="0" applyNumberFormat="1" applyFont="1" applyFill="1" applyBorder="1" applyAlignment="1" applyProtection="1">
      <alignment horizontal="right"/>
      <protection locked="0"/>
    </xf>
    <xf numFmtId="167" fontId="15" fillId="0" borderId="62" xfId="0" applyNumberFormat="1" applyFont="1" applyFill="1" applyBorder="1" applyAlignment="1" applyProtection="1">
      <alignment horizontal="right"/>
      <protection locked="0"/>
    </xf>
    <xf numFmtId="167" fontId="15" fillId="0" borderId="63" xfId="0" applyNumberFormat="1" applyFont="1" applyFill="1" applyBorder="1" applyAlignment="1" applyProtection="1">
      <alignment horizontal="right"/>
      <protection locked="0"/>
    </xf>
    <xf numFmtId="167" fontId="15" fillId="0" borderId="64" xfId="0" applyNumberFormat="1" applyFont="1" applyFill="1" applyBorder="1" applyAlignment="1" applyProtection="1">
      <alignment horizontal="right"/>
      <protection locked="0"/>
    </xf>
    <xf numFmtId="2" fontId="15" fillId="0" borderId="64" xfId="0" applyNumberFormat="1" applyFont="1" applyFill="1" applyBorder="1" applyAlignment="1" applyProtection="1">
      <alignment horizontal="right"/>
      <protection locked="0"/>
    </xf>
    <xf numFmtId="0" fontId="7" fillId="11" borderId="58" xfId="0" applyFont="1" applyFill="1" applyBorder="1" applyAlignment="1">
      <alignment horizontal="center" vertical="center" wrapText="1"/>
    </xf>
    <xf numFmtId="0" fontId="3" fillId="11" borderId="65" xfId="0" applyFont="1" applyFill="1" applyBorder="1" applyAlignment="1">
      <alignment horizontal="center" vertical="top"/>
    </xf>
    <xf numFmtId="167" fontId="15" fillId="0" borderId="66" xfId="0" applyNumberFormat="1" applyFont="1" applyFill="1" applyBorder="1" applyProtection="1">
      <protection locked="0"/>
    </xf>
    <xf numFmtId="2" fontId="15" fillId="0" borderId="67" xfId="0" applyNumberFormat="1" applyFont="1" applyFill="1" applyBorder="1" applyProtection="1">
      <protection locked="0"/>
    </xf>
    <xf numFmtId="167" fontId="15" fillId="0" borderId="62" xfId="0" applyNumberFormat="1" applyFont="1" applyFill="1" applyBorder="1" applyProtection="1">
      <protection locked="0"/>
    </xf>
    <xf numFmtId="2" fontId="15" fillId="0" borderId="68" xfId="0" applyNumberFormat="1" applyFont="1" applyFill="1" applyBorder="1" applyProtection="1">
      <protection locked="0"/>
    </xf>
    <xf numFmtId="167" fontId="15" fillId="0" borderId="63" xfId="0" applyNumberFormat="1" applyFont="1" applyFill="1" applyBorder="1" applyProtection="1">
      <protection locked="0"/>
    </xf>
    <xf numFmtId="2" fontId="15" fillId="0" borderId="69" xfId="0" applyNumberFormat="1" applyFont="1" applyFill="1" applyBorder="1" applyProtection="1">
      <protection locked="0"/>
    </xf>
    <xf numFmtId="0" fontId="7" fillId="11" borderId="70" xfId="0" applyFont="1" applyFill="1" applyBorder="1" applyAlignment="1">
      <alignment horizontal="center" vertical="center"/>
    </xf>
    <xf numFmtId="4" fontId="31" fillId="13" borderId="71" xfId="0" applyNumberFormat="1" applyFont="1" applyFill="1" applyBorder="1" applyAlignment="1">
      <alignment vertical="center"/>
    </xf>
    <xf numFmtId="2" fontId="31" fillId="13" borderId="71" xfId="0" applyNumberFormat="1" applyFont="1" applyFill="1" applyBorder="1" applyAlignment="1"/>
    <xf numFmtId="4" fontId="31" fillId="13" borderId="71" xfId="0" applyNumberFormat="1" applyFont="1" applyFill="1" applyBorder="1" applyAlignment="1"/>
    <xf numFmtId="3" fontId="7" fillId="11" borderId="70" xfId="0" applyNumberFormat="1" applyFont="1" applyFill="1" applyBorder="1"/>
    <xf numFmtId="2" fontId="7" fillId="11" borderId="70" xfId="0" applyNumberFormat="1" applyFont="1" applyFill="1" applyBorder="1" applyAlignment="1">
      <alignment horizontal="center"/>
    </xf>
    <xf numFmtId="0" fontId="7" fillId="11" borderId="70" xfId="0" applyFont="1" applyFill="1" applyBorder="1" applyAlignment="1">
      <alignment horizontal="center"/>
    </xf>
    <xf numFmtId="0" fontId="7" fillId="11" borderId="70" xfId="0" applyFont="1" applyFill="1" applyBorder="1" applyAlignment="1">
      <alignment horizontal="right"/>
    </xf>
    <xf numFmtId="2" fontId="3" fillId="14" borderId="72" xfId="0" applyNumberFormat="1" applyFont="1" applyFill="1" applyBorder="1" applyAlignment="1">
      <alignment horizontal="center"/>
    </xf>
    <xf numFmtId="2" fontId="3" fillId="14" borderId="73" xfId="0" applyNumberFormat="1" applyFont="1" applyFill="1" applyBorder="1" applyAlignment="1">
      <alignment horizontal="center"/>
    </xf>
    <xf numFmtId="0" fontId="4" fillId="15" borderId="74" xfId="0" applyFont="1" applyFill="1" applyBorder="1"/>
    <xf numFmtId="0" fontId="4" fillId="15" borderId="75" xfId="0" applyFont="1" applyFill="1" applyBorder="1"/>
    <xf numFmtId="0" fontId="4" fillId="15" borderId="75" xfId="0" quotePrefix="1" applyFont="1" applyFill="1" applyBorder="1"/>
    <xf numFmtId="0" fontId="4" fillId="15" borderId="76" xfId="0" applyFont="1" applyFill="1" applyBorder="1"/>
    <xf numFmtId="0" fontId="11" fillId="0" borderId="77" xfId="0" applyFont="1" applyFill="1" applyBorder="1" applyAlignment="1">
      <alignment horizontal="left"/>
    </xf>
    <xf numFmtId="0" fontId="4" fillId="15" borderId="78" xfId="0" applyFont="1" applyFill="1" applyBorder="1" applyAlignment="1">
      <alignment horizontal="center"/>
    </xf>
    <xf numFmtId="0" fontId="4" fillId="15" borderId="79" xfId="0" applyFont="1" applyFill="1" applyBorder="1" applyAlignment="1">
      <alignment horizontal="center"/>
    </xf>
    <xf numFmtId="0" fontId="4" fillId="15" borderId="80" xfId="0" applyFont="1" applyFill="1" applyBorder="1" applyAlignment="1">
      <alignment horizontal="center"/>
    </xf>
    <xf numFmtId="2" fontId="33" fillId="0" borderId="35" xfId="0" applyNumberFormat="1" applyFont="1" applyBorder="1" applyAlignment="1" applyProtection="1">
      <alignment horizontal="right"/>
      <protection locked="0"/>
    </xf>
    <xf numFmtId="165" fontId="7" fillId="14" borderId="45" xfId="0" applyNumberFormat="1" applyFont="1" applyFill="1" applyBorder="1" applyAlignment="1">
      <alignment horizontal="center"/>
    </xf>
    <xf numFmtId="0" fontId="3" fillId="14" borderId="81" xfId="0" applyFont="1" applyFill="1" applyBorder="1" applyAlignment="1">
      <alignment horizontal="center"/>
    </xf>
    <xf numFmtId="0" fontId="2" fillId="14" borderId="82" xfId="0" applyFont="1" applyFill="1" applyBorder="1" applyAlignment="1">
      <alignment horizontal="center"/>
    </xf>
    <xf numFmtId="0" fontId="2" fillId="14" borderId="45" xfId="0" applyFont="1" applyFill="1" applyBorder="1" applyAlignment="1">
      <alignment horizontal="center"/>
    </xf>
    <xf numFmtId="0" fontId="0" fillId="14" borderId="81" xfId="0" applyFill="1" applyBorder="1" applyAlignment="1"/>
    <xf numFmtId="0" fontId="34" fillId="14" borderId="46" xfId="0" applyFont="1" applyFill="1" applyBorder="1" applyAlignment="1">
      <alignment horizontal="center"/>
    </xf>
    <xf numFmtId="2" fontId="35" fillId="0" borderId="83" xfId="0" applyNumberFormat="1" applyFont="1" applyFill="1" applyBorder="1" applyAlignment="1" applyProtection="1">
      <alignment horizontal="right"/>
      <protection locked="0"/>
    </xf>
    <xf numFmtId="2" fontId="35" fillId="0" borderId="53" xfId="0" applyNumberFormat="1" applyFont="1" applyFill="1" applyBorder="1" applyAlignment="1" applyProtection="1">
      <alignment horizontal="right"/>
      <protection locked="0"/>
    </xf>
    <xf numFmtId="2" fontId="35" fillId="0" borderId="54" xfId="0" applyNumberFormat="1" applyFont="1" applyFill="1" applyBorder="1" applyAlignment="1" applyProtection="1">
      <alignment horizontal="right"/>
      <protection locked="0"/>
    </xf>
    <xf numFmtId="167" fontId="36" fillId="0" borderId="84" xfId="0" applyNumberFormat="1" applyFont="1" applyFill="1" applyBorder="1" applyAlignment="1" applyProtection="1">
      <alignment horizontal="center" vertical="center"/>
      <protection locked="0"/>
    </xf>
    <xf numFmtId="167" fontId="36" fillId="0" borderId="146" xfId="0" applyNumberFormat="1" applyFont="1" applyFill="1" applyBorder="1" applyAlignment="1" applyProtection="1">
      <alignment horizontal="center" vertical="center"/>
      <protection locked="0"/>
    </xf>
    <xf numFmtId="167" fontId="36" fillId="0" borderId="147" xfId="0" applyNumberFormat="1" applyFont="1" applyFill="1" applyBorder="1" applyAlignment="1" applyProtection="1">
      <alignment horizontal="center" vertical="center"/>
      <protection locked="0"/>
    </xf>
    <xf numFmtId="2" fontId="5" fillId="0" borderId="85" xfId="0" applyNumberFormat="1" applyFont="1" applyFill="1" applyBorder="1" applyProtection="1">
      <protection locked="0"/>
    </xf>
    <xf numFmtId="164" fontId="4" fillId="0" borderId="0" xfId="0" applyNumberFormat="1" applyFont="1" applyFill="1" applyAlignment="1"/>
    <xf numFmtId="2" fontId="5" fillId="0" borderId="32" xfId="0" applyNumberFormat="1" applyFont="1" applyFill="1" applyBorder="1" applyProtection="1">
      <protection locked="0"/>
    </xf>
    <xf numFmtId="2" fontId="5" fillId="0" borderId="86" xfId="0" applyNumberFormat="1" applyFont="1" applyFill="1" applyBorder="1" applyProtection="1">
      <protection locked="0"/>
    </xf>
    <xf numFmtId="1" fontId="4" fillId="15" borderId="87" xfId="0" applyNumberFormat="1" applyFont="1" applyFill="1" applyBorder="1" applyAlignment="1" applyProtection="1">
      <alignment horizontal="center"/>
    </xf>
    <xf numFmtId="1" fontId="4" fillId="15" borderId="88" xfId="0" applyNumberFormat="1" applyFont="1" applyFill="1" applyBorder="1" applyAlignment="1" applyProtection="1">
      <alignment horizontal="center"/>
    </xf>
    <xf numFmtId="1" fontId="4" fillId="15" borderId="89" xfId="0" applyNumberFormat="1" applyFont="1" applyFill="1" applyBorder="1" applyAlignment="1" applyProtection="1">
      <alignment horizontal="center"/>
    </xf>
    <xf numFmtId="0" fontId="5" fillId="0" borderId="0" xfId="0" applyFont="1" applyFill="1"/>
    <xf numFmtId="0" fontId="5" fillId="0" borderId="12" xfId="0" applyFont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0" fillId="0" borderId="0" xfId="0" applyBorder="1" applyAlignment="1"/>
    <xf numFmtId="0" fontId="37" fillId="0" borderId="0" xfId="0" applyFont="1" applyFill="1" applyBorder="1" applyAlignment="1">
      <alignment horizontal="center"/>
    </xf>
    <xf numFmtId="2" fontId="5" fillId="0" borderId="0" xfId="0" applyNumberFormat="1" applyFont="1" applyFill="1"/>
    <xf numFmtId="0" fontId="6" fillId="0" borderId="0" xfId="0" applyFont="1" applyFill="1" applyAlignment="1">
      <alignment horizontal="center"/>
    </xf>
    <xf numFmtId="164" fontId="5" fillId="0" borderId="0" xfId="0" applyNumberFormat="1" applyFont="1" applyFill="1" applyAlignment="1"/>
    <xf numFmtId="0" fontId="5" fillId="8" borderId="0" xfId="0" applyFont="1" applyFill="1"/>
    <xf numFmtId="0" fontId="6" fillId="0" borderId="4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36" fillId="0" borderId="146" xfId="0" applyNumberFormat="1" applyFont="1" applyFill="1" applyBorder="1" applyAlignment="1" applyProtection="1">
      <alignment horizontal="center" vertical="center"/>
      <protection locked="0"/>
    </xf>
    <xf numFmtId="0" fontId="38" fillId="2" borderId="35" xfId="0" applyFont="1" applyFill="1" applyBorder="1" applyAlignment="1">
      <alignment horizontal="right"/>
    </xf>
    <xf numFmtId="0" fontId="38" fillId="2" borderId="35" xfId="0" applyFont="1" applyFill="1" applyBorder="1" applyAlignment="1">
      <alignment horizontal="center"/>
    </xf>
    <xf numFmtId="0" fontId="2" fillId="0" borderId="0" xfId="0" applyFont="1"/>
    <xf numFmtId="0" fontId="2" fillId="0" borderId="35" xfId="0" applyFont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/>
    <xf numFmtId="0" fontId="1" fillId="0" borderId="0" xfId="0" applyFont="1" applyFill="1" applyBorder="1"/>
    <xf numFmtId="0" fontId="1" fillId="0" borderId="0" xfId="0" applyFont="1" applyFill="1"/>
    <xf numFmtId="0" fontId="2" fillId="0" borderId="35" xfId="0" quotePrefix="1" applyFont="1" applyBorder="1"/>
    <xf numFmtId="0" fontId="1" fillId="0" borderId="155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2" fontId="0" fillId="2" borderId="0" xfId="0" applyNumberFormat="1" applyFill="1" applyBorder="1"/>
    <xf numFmtId="0" fontId="3" fillId="7" borderId="28" xfId="0" applyFont="1" applyFill="1" applyBorder="1" applyAlignment="1">
      <alignment horizontal="center" vertical="center"/>
    </xf>
    <xf numFmtId="167" fontId="13" fillId="9" borderId="28" xfId="0" applyNumberFormat="1" applyFont="1" applyFill="1" applyBorder="1" applyAlignment="1" applyProtection="1">
      <alignment horizontal="center" vertical="center"/>
      <protection locked="0"/>
    </xf>
    <xf numFmtId="167" fontId="13" fillId="9" borderId="28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Alignment="1"/>
    <xf numFmtId="0" fontId="0" fillId="2" borderId="36" xfId="0" applyFill="1" applyBorder="1" applyAlignment="1"/>
    <xf numFmtId="0" fontId="0" fillId="0" borderId="44" xfId="0" applyBorder="1"/>
    <xf numFmtId="2" fontId="0" fillId="0" borderId="44" xfId="0" applyNumberFormat="1" applyBorder="1" applyAlignment="1">
      <alignment horizontal="right"/>
    </xf>
    <xf numFmtId="0" fontId="1" fillId="6" borderId="0" xfId="0" applyFont="1" applyFill="1" applyBorder="1" applyAlignment="1">
      <alignment horizontal="center"/>
    </xf>
    <xf numFmtId="0" fontId="6" fillId="11" borderId="99" xfId="0" applyFont="1" applyFill="1" applyBorder="1" applyAlignment="1">
      <alignment vertical="center"/>
    </xf>
    <xf numFmtId="0" fontId="0" fillId="11" borderId="3" xfId="0" applyFill="1" applyBorder="1" applyAlignment="1"/>
    <xf numFmtId="0" fontId="0" fillId="11" borderId="100" xfId="0" applyFill="1" applyBorder="1" applyAlignment="1"/>
    <xf numFmtId="0" fontId="0" fillId="11" borderId="101" xfId="0" applyFill="1" applyBorder="1" applyAlignment="1"/>
    <xf numFmtId="0" fontId="0" fillId="11" borderId="0" xfId="0" applyFill="1" applyAlignment="1"/>
    <xf numFmtId="0" fontId="0" fillId="11" borderId="102" xfId="0" applyFill="1" applyBorder="1" applyAlignment="1"/>
    <xf numFmtId="0" fontId="4" fillId="17" borderId="0" xfId="0" applyFont="1" applyFill="1" applyBorder="1" applyAlignment="1">
      <alignment horizontal="center" vertical="center"/>
    </xf>
    <xf numFmtId="0" fontId="4" fillId="17" borderId="0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26" fillId="13" borderId="103" xfId="0" applyFont="1" applyFill="1" applyBorder="1" applyAlignment="1">
      <alignment horizontal="center" vertical="center" shrinkToFit="1"/>
    </xf>
    <xf numFmtId="0" fontId="27" fillId="13" borderId="104" xfId="0" applyFont="1" applyFill="1" applyBorder="1" applyAlignment="1">
      <alignment horizontal="center" vertical="center"/>
    </xf>
    <xf numFmtId="2" fontId="36" fillId="0" borderId="1" xfId="0" applyNumberFormat="1" applyFont="1" applyFill="1" applyBorder="1" applyAlignment="1" applyProtection="1">
      <alignment horizontal="left" vertical="center"/>
      <protection locked="0"/>
    </xf>
    <xf numFmtId="2" fontId="36" fillId="0" borderId="149" xfId="0" applyNumberFormat="1" applyFont="1" applyFill="1" applyBorder="1" applyAlignment="1" applyProtection="1">
      <alignment horizontal="left" vertical="center"/>
      <protection locked="0"/>
    </xf>
    <xf numFmtId="2" fontId="36" fillId="0" borderId="150" xfId="0" applyNumberFormat="1" applyFont="1" applyFill="1" applyBorder="1" applyAlignment="1" applyProtection="1">
      <alignment horizontal="left" vertical="center"/>
      <protection locked="0"/>
    </xf>
    <xf numFmtId="2" fontId="36" fillId="0" borderId="151" xfId="0" applyNumberFormat="1" applyFont="1" applyFill="1" applyBorder="1" applyAlignment="1" applyProtection="1">
      <alignment horizontal="left" vertical="center"/>
      <protection locked="0"/>
    </xf>
    <xf numFmtId="0" fontId="3" fillId="0" borderId="115" xfId="0" applyFont="1" applyBorder="1" applyAlignment="1" applyProtection="1">
      <alignment vertical="center"/>
      <protection locked="0"/>
    </xf>
    <xf numFmtId="0" fontId="3" fillId="0" borderId="116" xfId="0" applyFont="1" applyBorder="1" applyAlignment="1" applyProtection="1">
      <alignment vertical="center"/>
      <protection locked="0"/>
    </xf>
    <xf numFmtId="0" fontId="3" fillId="0" borderId="117" xfId="0" applyFont="1" applyBorder="1" applyAlignment="1" applyProtection="1">
      <alignment vertical="center"/>
      <protection locked="0"/>
    </xf>
    <xf numFmtId="0" fontId="28" fillId="13" borderId="99" xfId="0" applyFont="1" applyFill="1" applyBorder="1" applyAlignment="1">
      <alignment horizontal="center" vertical="center"/>
    </xf>
    <xf numFmtId="0" fontId="29" fillId="13" borderId="3" xfId="0" applyFont="1" applyFill="1" applyBorder="1" applyAlignment="1">
      <alignment vertical="center"/>
    </xf>
    <xf numFmtId="0" fontId="29" fillId="13" borderId="8" xfId="0" applyFont="1" applyFill="1" applyBorder="1" applyAlignment="1">
      <alignment vertical="center"/>
    </xf>
    <xf numFmtId="0" fontId="12" fillId="0" borderId="118" xfId="0" applyFont="1" applyFill="1" applyBorder="1" applyAlignment="1" applyProtection="1">
      <alignment horizontal="center" vertical="center"/>
    </xf>
    <xf numFmtId="0" fontId="12" fillId="0" borderId="119" xfId="0" applyFont="1" applyFill="1" applyBorder="1" applyAlignment="1" applyProtection="1">
      <alignment vertical="center"/>
    </xf>
    <xf numFmtId="0" fontId="12" fillId="0" borderId="120" xfId="0" applyFont="1" applyFill="1" applyBorder="1" applyAlignment="1" applyProtection="1">
      <alignment vertical="center"/>
    </xf>
    <xf numFmtId="0" fontId="26" fillId="13" borderId="99" xfId="0" applyFont="1" applyFill="1" applyBorder="1" applyAlignment="1">
      <alignment horizontal="center" vertical="center"/>
    </xf>
    <xf numFmtId="0" fontId="27" fillId="13" borderId="8" xfId="0" applyFont="1" applyFill="1" applyBorder="1" applyAlignment="1">
      <alignment horizontal="center"/>
    </xf>
    <xf numFmtId="166" fontId="3" fillId="0" borderId="118" xfId="0" applyNumberFormat="1" applyFont="1" applyBorder="1" applyAlignment="1" applyProtection="1">
      <alignment horizontal="center" vertical="center"/>
      <protection locked="0"/>
    </xf>
    <xf numFmtId="166" fontId="0" fillId="0" borderId="120" xfId="0" applyNumberFormat="1" applyBorder="1" applyAlignment="1" applyProtection="1">
      <alignment horizontal="center"/>
      <protection locked="0"/>
    </xf>
    <xf numFmtId="0" fontId="3" fillId="0" borderId="121" xfId="0" applyFont="1" applyBorder="1" applyAlignment="1" applyProtection="1">
      <alignment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" fillId="0" borderId="122" xfId="0" applyFont="1" applyBorder="1" applyAlignment="1" applyProtection="1">
      <alignment vertical="center"/>
      <protection locked="0"/>
    </xf>
    <xf numFmtId="0" fontId="5" fillId="0" borderId="105" xfId="0" applyFont="1" applyBorder="1" applyAlignment="1" applyProtection="1">
      <alignment vertical="center"/>
      <protection locked="0"/>
    </xf>
    <xf numFmtId="0" fontId="5" fillId="0" borderId="106" xfId="0" applyFont="1" applyBorder="1" applyAlignment="1" applyProtection="1">
      <alignment vertical="center"/>
      <protection locked="0"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7" xfId="0" applyBorder="1" applyAlignment="1" applyProtection="1">
      <alignment vertical="center"/>
      <protection locked="0"/>
    </xf>
    <xf numFmtId="0" fontId="8" fillId="2" borderId="101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108" xfId="0" applyFill="1" applyBorder="1" applyAlignment="1">
      <alignment vertical="center"/>
    </xf>
    <xf numFmtId="0" fontId="0" fillId="2" borderId="90" xfId="0" applyFill="1" applyBorder="1" applyAlignment="1">
      <alignment vertical="center"/>
    </xf>
    <xf numFmtId="0" fontId="5" fillId="17" borderId="0" xfId="0" applyFont="1" applyFill="1" applyBorder="1" applyAlignment="1">
      <alignment horizontal="left" vertical="center"/>
    </xf>
    <xf numFmtId="0" fontId="5" fillId="0" borderId="94" xfId="0" applyFont="1" applyFill="1" applyBorder="1" applyAlignment="1" applyProtection="1">
      <alignment horizontal="left" vertical="center"/>
      <protection locked="0"/>
    </xf>
    <xf numFmtId="0" fontId="5" fillId="0" borderId="126" xfId="0" applyFont="1" applyFill="1" applyBorder="1" applyAlignment="1" applyProtection="1">
      <alignment horizontal="left" vertical="center"/>
      <protection locked="0"/>
    </xf>
    <xf numFmtId="0" fontId="6" fillId="0" borderId="70" xfId="0" applyFont="1" applyFill="1" applyBorder="1" applyAlignment="1"/>
    <xf numFmtId="0" fontId="0" fillId="0" borderId="70" xfId="0" applyBorder="1" applyAlignment="1"/>
    <xf numFmtId="0" fontId="6" fillId="2" borderId="11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136" xfId="0" applyFont="1" applyBorder="1" applyAlignment="1" applyProtection="1">
      <protection locked="0"/>
    </xf>
    <xf numFmtId="0" fontId="5" fillId="0" borderId="137" xfId="0" applyFont="1" applyBorder="1" applyAlignment="1" applyProtection="1">
      <protection locked="0"/>
    </xf>
    <xf numFmtId="0" fontId="5" fillId="0" borderId="0" xfId="0" applyFont="1" applyAlignment="1"/>
    <xf numFmtId="0" fontId="5" fillId="2" borderId="97" xfId="0" applyFont="1" applyFill="1" applyBorder="1" applyAlignment="1"/>
    <xf numFmtId="0" fontId="5" fillId="2" borderId="111" xfId="0" applyFont="1" applyFill="1" applyBorder="1" applyAlignment="1"/>
    <xf numFmtId="0" fontId="0" fillId="0" borderId="111" xfId="0" applyBorder="1" applyAlignment="1"/>
    <xf numFmtId="0" fontId="6" fillId="2" borderId="25" xfId="0" applyFont="1" applyFill="1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5" fillId="0" borderId="136" xfId="0" applyFont="1" applyBorder="1" applyAlignment="1" applyProtection="1"/>
    <xf numFmtId="0" fontId="5" fillId="0" borderId="137" xfId="0" applyFont="1" applyBorder="1" applyAlignment="1" applyProtection="1"/>
    <xf numFmtId="2" fontId="5" fillId="0" borderId="138" xfId="0" applyNumberFormat="1" applyFont="1" applyFill="1" applyBorder="1" applyAlignment="1" applyProtection="1"/>
    <xf numFmtId="2" fontId="5" fillId="0" borderId="0" xfId="0" applyNumberFormat="1" applyFont="1" applyFill="1" applyBorder="1" applyAlignment="1" applyProtection="1"/>
    <xf numFmtId="0" fontId="5" fillId="0" borderId="112" xfId="0" applyFont="1" applyBorder="1" applyAlignment="1" applyProtection="1">
      <protection locked="0"/>
    </xf>
    <xf numFmtId="0" fontId="5" fillId="0" borderId="98" xfId="0" applyFont="1" applyBorder="1" applyAlignment="1" applyProtection="1">
      <protection locked="0"/>
    </xf>
    <xf numFmtId="2" fontId="5" fillId="2" borderId="4" xfId="0" applyNumberFormat="1" applyFont="1" applyFill="1" applyBorder="1" applyAlignment="1"/>
    <xf numFmtId="0" fontId="0" fillId="2" borderId="98" xfId="0" applyFill="1" applyBorder="1" applyAlignment="1"/>
    <xf numFmtId="0" fontId="0" fillId="2" borderId="23" xfId="0" applyFill="1" applyBorder="1" applyAlignment="1"/>
    <xf numFmtId="0" fontId="7" fillId="0" borderId="118" xfId="0" applyFont="1" applyFill="1" applyBorder="1" applyAlignment="1">
      <alignment horizontal="right"/>
    </xf>
    <xf numFmtId="0" fontId="0" fillId="0" borderId="119" xfId="0" applyBorder="1" applyAlignment="1"/>
    <xf numFmtId="0" fontId="0" fillId="0" borderId="120" xfId="0" applyBorder="1" applyAlignment="1"/>
    <xf numFmtId="0" fontId="5" fillId="0" borderId="99" xfId="0" applyFont="1" applyBorder="1" applyAlignment="1"/>
    <xf numFmtId="0" fontId="0" fillId="0" borderId="3" xfId="0" applyBorder="1" applyAlignment="1"/>
    <xf numFmtId="0" fontId="0" fillId="0" borderId="8" xfId="0" applyBorder="1" applyAlignment="1"/>
    <xf numFmtId="0" fontId="0" fillId="0" borderId="101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0" xfId="0" applyAlignment="1"/>
    <xf numFmtId="0" fontId="0" fillId="0" borderId="118" xfId="0" applyBorder="1" applyAlignment="1"/>
    <xf numFmtId="0" fontId="5" fillId="0" borderId="70" xfId="0" applyFont="1" applyBorder="1" applyAlignment="1"/>
    <xf numFmtId="0" fontId="5" fillId="2" borderId="108" xfId="0" applyFont="1" applyFill="1" applyBorder="1" applyAlignment="1"/>
    <xf numFmtId="0" fontId="5" fillId="2" borderId="90" xfId="0" applyFont="1" applyFill="1" applyBorder="1" applyAlignment="1"/>
    <xf numFmtId="0" fontId="5" fillId="0" borderId="141" xfId="0" applyFont="1" applyBorder="1" applyAlignment="1" applyProtection="1">
      <protection locked="0"/>
    </xf>
    <xf numFmtId="0" fontId="5" fillId="0" borderId="142" xfId="0" applyFont="1" applyBorder="1" applyAlignment="1" applyProtection="1">
      <protection locked="0"/>
    </xf>
    <xf numFmtId="0" fontId="6" fillId="11" borderId="97" xfId="0" applyFont="1" applyFill="1" applyBorder="1" applyAlignment="1">
      <alignment vertical="center"/>
    </xf>
    <xf numFmtId="0" fontId="0" fillId="11" borderId="98" xfId="0" applyFill="1" applyBorder="1" applyAlignment="1"/>
    <xf numFmtId="0" fontId="0" fillId="11" borderId="111" xfId="0" applyFill="1" applyBorder="1" applyAlignment="1"/>
    <xf numFmtId="0" fontId="5" fillId="0" borderId="98" xfId="0" applyFont="1" applyBorder="1" applyAlignment="1"/>
    <xf numFmtId="2" fontId="5" fillId="0" borderId="4" xfId="0" applyNumberFormat="1" applyFont="1" applyFill="1" applyBorder="1" applyAlignment="1" applyProtection="1">
      <protection locked="0"/>
    </xf>
    <xf numFmtId="0" fontId="5" fillId="0" borderId="93" xfId="0" applyFont="1" applyBorder="1" applyAlignment="1" applyProtection="1"/>
    <xf numFmtId="0" fontId="0" fillId="0" borderId="94" xfId="0" applyBorder="1" applyAlignment="1" applyProtection="1"/>
    <xf numFmtId="2" fontId="11" fillId="0" borderId="92" xfId="0" applyNumberFormat="1" applyFont="1" applyBorder="1" applyAlignment="1"/>
    <xf numFmtId="0" fontId="0" fillId="0" borderId="9" xfId="0" applyBorder="1" applyAlignment="1"/>
    <xf numFmtId="0" fontId="0" fillId="0" borderId="132" xfId="0" applyBorder="1" applyAlignment="1"/>
    <xf numFmtId="4" fontId="11" fillId="0" borderId="123" xfId="0" applyNumberFormat="1" applyFont="1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4" xfId="0" applyBorder="1" applyAlignment="1">
      <alignment horizontal="center"/>
    </xf>
    <xf numFmtId="0" fontId="11" fillId="0" borderId="93" xfId="0" applyFont="1" applyBorder="1" applyAlignment="1"/>
    <xf numFmtId="0" fontId="0" fillId="0" borderId="94" xfId="0" applyBorder="1" applyAlignment="1"/>
    <xf numFmtId="0" fontId="0" fillId="0" borderId="134" xfId="0" applyBorder="1" applyAlignment="1"/>
    <xf numFmtId="0" fontId="11" fillId="2" borderId="97" xfId="0" applyFont="1" applyFill="1" applyBorder="1" applyAlignment="1">
      <alignment shrinkToFit="1"/>
    </xf>
    <xf numFmtId="0" fontId="11" fillId="0" borderId="98" xfId="0" applyFont="1" applyBorder="1" applyAlignment="1">
      <alignment shrinkToFit="1"/>
    </xf>
    <xf numFmtId="0" fontId="5" fillId="2" borderId="91" xfId="0" applyFont="1" applyFill="1" applyBorder="1" applyAlignment="1"/>
    <xf numFmtId="0" fontId="0" fillId="0" borderId="27" xfId="0" applyBorder="1" applyAlignment="1"/>
    <xf numFmtId="0" fontId="5" fillId="0" borderId="92" xfId="0" applyFont="1" applyBorder="1" applyAlignment="1" applyProtection="1"/>
    <xf numFmtId="0" fontId="4" fillId="11" borderId="118" xfId="0" applyFont="1" applyFill="1" applyBorder="1" applyAlignment="1">
      <alignment horizontal="center" vertical="center" wrapText="1"/>
    </xf>
    <xf numFmtId="0" fontId="4" fillId="11" borderId="119" xfId="0" applyFont="1" applyFill="1" applyBorder="1" applyAlignment="1">
      <alignment horizontal="center" vertical="center"/>
    </xf>
    <xf numFmtId="0" fontId="4" fillId="11" borderId="120" xfId="0" applyFont="1" applyFill="1" applyBorder="1" applyAlignment="1">
      <alignment horizontal="center" vertical="center"/>
    </xf>
    <xf numFmtId="0" fontId="7" fillId="11" borderId="127" xfId="0" applyFont="1" applyFill="1" applyBorder="1" applyAlignment="1">
      <alignment horizontal="right"/>
    </xf>
    <xf numFmtId="0" fontId="7" fillId="11" borderId="70" xfId="0" applyFont="1" applyFill="1" applyBorder="1" applyAlignment="1"/>
    <xf numFmtId="0" fontId="7" fillId="11" borderId="70" xfId="0" applyFont="1" applyFill="1" applyBorder="1" applyAlignment="1">
      <alignment horizontal="right"/>
    </xf>
    <xf numFmtId="0" fontId="11" fillId="0" borderId="101" xfId="0" applyFont="1" applyFill="1" applyBorder="1" applyAlignment="1">
      <alignment horizontal="right"/>
    </xf>
    <xf numFmtId="0" fontId="11" fillId="0" borderId="0" xfId="0" applyFont="1" applyBorder="1" applyAlignment="1"/>
    <xf numFmtId="0" fontId="11" fillId="0" borderId="10" xfId="0" applyFont="1" applyBorder="1" applyAlignment="1"/>
    <xf numFmtId="0" fontId="9" fillId="0" borderId="70" xfId="0" applyFont="1" applyFill="1" applyBorder="1" applyAlignment="1">
      <alignment horizontal="center" vertical="center"/>
    </xf>
    <xf numFmtId="0" fontId="11" fillId="0" borderId="92" xfId="0" applyFont="1" applyBorder="1" applyAlignment="1"/>
    <xf numFmtId="0" fontId="7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35" xfId="0" applyFont="1" applyFill="1" applyBorder="1" applyAlignment="1"/>
    <xf numFmtId="0" fontId="0" fillId="0" borderId="94" xfId="0" applyFill="1" applyBorder="1" applyAlignment="1"/>
    <xf numFmtId="0" fontId="0" fillId="0" borderId="126" xfId="0" applyFill="1" applyBorder="1" applyAlignment="1"/>
    <xf numFmtId="0" fontId="7" fillId="11" borderId="109" xfId="0" applyFont="1" applyFill="1" applyBorder="1" applyAlignment="1">
      <alignment horizontal="center" vertical="center" wrapText="1"/>
    </xf>
    <xf numFmtId="0" fontId="0" fillId="11" borderId="110" xfId="0" applyFill="1" applyBorder="1" applyAlignment="1">
      <alignment horizontal="center"/>
    </xf>
    <xf numFmtId="0" fontId="7" fillId="11" borderId="127" xfId="0" applyFont="1" applyFill="1" applyBorder="1" applyAlignment="1">
      <alignment horizontal="center" vertical="center"/>
    </xf>
    <xf numFmtId="0" fontId="11" fillId="11" borderId="70" xfId="0" applyFont="1" applyFill="1" applyBorder="1" applyAlignment="1">
      <alignment horizontal="center" vertical="center"/>
    </xf>
    <xf numFmtId="0" fontId="3" fillId="2" borderId="99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118" xfId="0" applyFont="1" applyFill="1" applyBorder="1" applyAlignment="1">
      <alignment vertical="center" shrinkToFit="1"/>
    </xf>
    <xf numFmtId="0" fontId="4" fillId="2" borderId="119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/>
    </xf>
    <xf numFmtId="0" fontId="0" fillId="2" borderId="119" xfId="0" applyFill="1" applyBorder="1" applyAlignment="1">
      <alignment horizontal="center" vertical="center"/>
    </xf>
    <xf numFmtId="0" fontId="9" fillId="11" borderId="99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/>
    </xf>
    <xf numFmtId="0" fontId="9" fillId="11" borderId="8" xfId="0" applyFont="1" applyFill="1" applyBorder="1" applyAlignment="1">
      <alignment horizontal="center" vertical="center"/>
    </xf>
    <xf numFmtId="0" fontId="11" fillId="2" borderId="104" xfId="0" applyFont="1" applyFill="1" applyBorder="1" applyAlignment="1">
      <alignment shrinkToFit="1"/>
    </xf>
    <xf numFmtId="0" fontId="11" fillId="2" borderId="123" xfId="0" applyFont="1" applyFill="1" applyBorder="1" applyAlignment="1">
      <alignment shrinkToFit="1"/>
    </xf>
    <xf numFmtId="0" fontId="7" fillId="11" borderId="99" xfId="0" applyFont="1" applyFill="1" applyBorder="1" applyAlignment="1">
      <alignment vertical="center"/>
    </xf>
    <xf numFmtId="0" fontId="0" fillId="11" borderId="3" xfId="0" applyFill="1" applyBorder="1" applyAlignment="1">
      <alignment vertical="center"/>
    </xf>
    <xf numFmtId="0" fontId="0" fillId="11" borderId="100" xfId="0" applyFill="1" applyBorder="1" applyAlignment="1">
      <alignment vertical="center"/>
    </xf>
    <xf numFmtId="0" fontId="0" fillId="11" borderId="108" xfId="0" applyFill="1" applyBorder="1" applyAlignment="1">
      <alignment vertical="center"/>
    </xf>
    <xf numFmtId="0" fontId="0" fillId="11" borderId="90" xfId="0" applyFill="1" applyBorder="1" applyAlignment="1">
      <alignment vertical="center"/>
    </xf>
    <xf numFmtId="0" fontId="0" fillId="11" borderId="128" xfId="0" applyFill="1" applyBorder="1" applyAlignment="1">
      <alignment vertical="center"/>
    </xf>
    <xf numFmtId="0" fontId="5" fillId="2" borderId="101" xfId="0" applyFont="1" applyFill="1" applyBorder="1" applyAlignment="1"/>
    <xf numFmtId="0" fontId="0" fillId="0" borderId="102" xfId="0" applyBorder="1"/>
    <xf numFmtId="4" fontId="31" fillId="13" borderId="8" xfId="0" applyNumberFormat="1" applyFont="1" applyFill="1" applyBorder="1" applyAlignment="1">
      <alignment vertical="center"/>
    </xf>
    <xf numFmtId="0" fontId="30" fillId="13" borderId="120" xfId="0" applyFont="1" applyFill="1" applyBorder="1" applyAlignment="1">
      <alignment vertical="center"/>
    </xf>
    <xf numFmtId="0" fontId="30" fillId="13" borderId="127" xfId="0" applyFont="1" applyFill="1" applyBorder="1" applyAlignment="1">
      <alignment horizontal="left" vertical="center" shrinkToFit="1"/>
    </xf>
    <xf numFmtId="0" fontId="32" fillId="13" borderId="70" xfId="0" applyFont="1" applyFill="1" applyBorder="1" applyAlignment="1">
      <alignment shrinkToFit="1"/>
    </xf>
    <xf numFmtId="0" fontId="32" fillId="13" borderId="71" xfId="0" applyFont="1" applyFill="1" applyBorder="1" applyAlignment="1">
      <alignment shrinkToFit="1"/>
    </xf>
    <xf numFmtId="0" fontId="11" fillId="2" borderId="129" xfId="0" applyFont="1" applyFill="1" applyBorder="1" applyAlignment="1">
      <alignment shrinkToFit="1"/>
    </xf>
    <xf numFmtId="0" fontId="11" fillId="2" borderId="112" xfId="0" applyFont="1" applyFill="1" applyBorder="1" applyAlignment="1">
      <alignment shrinkToFit="1"/>
    </xf>
    <xf numFmtId="0" fontId="11" fillId="2" borderId="130" xfId="0" applyFont="1" applyFill="1" applyBorder="1" applyAlignment="1">
      <alignment shrinkToFit="1"/>
    </xf>
    <xf numFmtId="0" fontId="11" fillId="2" borderId="131" xfId="0" applyFont="1" applyFill="1" applyBorder="1" applyAlignment="1">
      <alignment shrinkToFit="1"/>
    </xf>
    <xf numFmtId="0" fontId="11" fillId="0" borderId="92" xfId="0" applyFont="1" applyFill="1" applyBorder="1" applyAlignment="1">
      <alignment horizontal="left"/>
    </xf>
    <xf numFmtId="0" fontId="11" fillId="0" borderId="133" xfId="0" applyFont="1" applyFill="1" applyBorder="1" applyAlignment="1">
      <alignment horizontal="left"/>
    </xf>
    <xf numFmtId="0" fontId="0" fillId="0" borderId="12" xfId="0" applyBorder="1" applyAlignment="1"/>
    <xf numFmtId="0" fontId="5" fillId="16" borderId="152" xfId="0" applyFont="1" applyFill="1" applyBorder="1" applyAlignment="1">
      <alignment horizontal="left" vertical="center"/>
    </xf>
    <xf numFmtId="0" fontId="4" fillId="17" borderId="154" xfId="0" applyFont="1" applyFill="1" applyBorder="1" applyAlignment="1">
      <alignment horizontal="center" vertical="center"/>
    </xf>
    <xf numFmtId="0" fontId="4" fillId="17" borderId="148" xfId="0" applyFont="1" applyFill="1" applyBorder="1" applyAlignment="1">
      <alignment horizontal="center" vertical="center"/>
    </xf>
    <xf numFmtId="0" fontId="4" fillId="17" borderId="153" xfId="0" applyFont="1" applyFill="1" applyBorder="1" applyAlignment="1">
      <alignment horizontal="center" vertical="center"/>
    </xf>
    <xf numFmtId="0" fontId="5" fillId="16" borderId="156" xfId="0" applyFont="1" applyFill="1" applyBorder="1" applyAlignment="1">
      <alignment horizontal="left" vertical="center"/>
    </xf>
    <xf numFmtId="0" fontId="5" fillId="16" borderId="148" xfId="0" applyFont="1" applyFill="1" applyBorder="1" applyAlignment="1">
      <alignment horizontal="left" vertical="center"/>
    </xf>
    <xf numFmtId="0" fontId="6" fillId="8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/>
    <xf numFmtId="0" fontId="5" fillId="0" borderId="139" xfId="0" applyFont="1" applyFill="1" applyBorder="1" applyAlignment="1" applyProtection="1">
      <protection locked="0"/>
    </xf>
    <xf numFmtId="0" fontId="5" fillId="0" borderId="90" xfId="0" applyFont="1" applyFill="1" applyBorder="1" applyAlignment="1" applyProtection="1"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/>
    <xf numFmtId="0" fontId="5" fillId="0" borderId="10" xfId="0" applyFont="1" applyBorder="1" applyAlignment="1"/>
    <xf numFmtId="0" fontId="5" fillId="2" borderId="15" xfId="0" applyFont="1" applyFill="1" applyBorder="1" applyAlignment="1"/>
    <xf numFmtId="0" fontId="5" fillId="2" borderId="140" xfId="0" applyFont="1" applyFill="1" applyBorder="1" applyAlignment="1"/>
    <xf numFmtId="0" fontId="5" fillId="0" borderId="119" xfId="0" applyFont="1" applyBorder="1" applyAlignment="1" applyProtection="1">
      <protection locked="0"/>
    </xf>
    <xf numFmtId="0" fontId="5" fillId="17" borderId="90" xfId="0" applyFont="1" applyFill="1" applyBorder="1" applyAlignment="1">
      <alignment horizontal="left" vertical="center"/>
    </xf>
    <xf numFmtId="1" fontId="5" fillId="0" borderId="14" xfId="0" applyNumberFormat="1" applyFont="1" applyFill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25" xfId="0" applyFont="1" applyBorder="1" applyAlignment="1" applyProtection="1">
      <alignment horizontal="left" vertical="center"/>
      <protection locked="0"/>
    </xf>
    <xf numFmtId="0" fontId="23" fillId="11" borderId="109" xfId="0" applyFont="1" applyFill="1" applyBorder="1" applyAlignment="1">
      <alignment horizontal="center" vertical="center" wrapText="1"/>
    </xf>
    <xf numFmtId="0" fontId="24" fillId="11" borderId="113" xfId="0" applyFont="1" applyFill="1" applyBorder="1" applyAlignment="1">
      <alignment horizontal="center" vertical="center" wrapText="1"/>
    </xf>
    <xf numFmtId="0" fontId="24" fillId="11" borderId="113" xfId="0" applyFont="1" applyFill="1" applyBorder="1" applyAlignment="1"/>
    <xf numFmtId="0" fontId="5" fillId="0" borderId="119" xfId="0" applyFont="1" applyBorder="1" applyAlignment="1"/>
    <xf numFmtId="0" fontId="5" fillId="0" borderId="92" xfId="0" applyFont="1" applyBorder="1" applyAlignment="1" applyProtection="1">
      <protection locked="0"/>
    </xf>
    <xf numFmtId="0" fontId="5" fillId="0" borderId="9" xfId="0" applyFont="1" applyBorder="1" applyAlignment="1" applyProtection="1">
      <protection locked="0"/>
    </xf>
    <xf numFmtId="0" fontId="4" fillId="16" borderId="148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left" vertical="center"/>
    </xf>
    <xf numFmtId="0" fontId="10" fillId="2" borderId="95" xfId="0" applyFont="1" applyFill="1" applyBorder="1" applyAlignment="1"/>
    <xf numFmtId="0" fontId="10" fillId="2" borderId="96" xfId="0" applyFont="1" applyFill="1" applyBorder="1" applyAlignment="1"/>
    <xf numFmtId="0" fontId="5" fillId="2" borderId="98" xfId="0" applyFont="1" applyFill="1" applyBorder="1" applyAlignment="1"/>
    <xf numFmtId="0" fontId="3" fillId="14" borderId="143" xfId="0" applyFont="1" applyFill="1" applyBorder="1" applyAlignment="1">
      <alignment horizontal="center"/>
    </xf>
    <xf numFmtId="0" fontId="3" fillId="14" borderId="144" xfId="0" applyFont="1" applyFill="1" applyBorder="1" applyAlignment="1">
      <alignment horizontal="center"/>
    </xf>
    <xf numFmtId="0" fontId="4" fillId="14" borderId="144" xfId="0" applyFont="1" applyFill="1" applyBorder="1" applyAlignment="1"/>
    <xf numFmtId="0" fontId="4" fillId="14" borderId="145" xfId="0" applyFont="1" applyFill="1" applyBorder="1" applyAlignment="1"/>
    <xf numFmtId="0" fontId="3" fillId="14" borderId="72" xfId="0" applyFont="1" applyFill="1" applyBorder="1" applyAlignment="1">
      <alignment horizontal="center" vertical="center"/>
    </xf>
    <xf numFmtId="0" fontId="4" fillId="14" borderId="73" xfId="0" applyFont="1" applyFill="1" applyBorder="1" applyAlignment="1">
      <alignment horizontal="center" vertical="center"/>
    </xf>
    <xf numFmtId="1" fontId="3" fillId="14" borderId="72" xfId="0" applyNumberFormat="1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3" fillId="14" borderId="157" xfId="0" applyFont="1" applyFill="1" applyBorder="1" applyAlignment="1">
      <alignment horizontal="center" vertical="center"/>
    </xf>
    <xf numFmtId="0" fontId="0" fillId="0" borderId="158" xfId="0" applyBorder="1" applyAlignment="1">
      <alignment horizontal="center" vertical="center"/>
    </xf>
  </cellXfs>
  <cellStyles count="1">
    <cellStyle name="Normalny" xfId="0" builtinId="0"/>
  </cellStyles>
  <dxfs count="47"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rgb="FFFF0000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22"/>
      </font>
      <fill>
        <patternFill>
          <bgColor indexed="22"/>
        </patternFill>
      </fill>
      <border>
        <top style="thin">
          <color indexed="23"/>
        </top>
        <bottom style="thin">
          <color indexed="22"/>
        </bottom>
      </border>
    </dxf>
    <dxf>
      <font>
        <condense val="0"/>
        <extend val="0"/>
        <color indexed="55"/>
      </font>
      <fill>
        <patternFill>
          <bgColor indexed="22"/>
        </patternFill>
      </fill>
      <border>
        <top style="thin">
          <color indexed="55"/>
        </top>
        <bottom style="thin">
          <color indexed="9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55"/>
      </font>
      <fill>
        <patternFill>
          <bgColor indexed="22"/>
        </patternFill>
      </fill>
      <border>
        <top style="thin">
          <color indexed="55"/>
        </top>
        <bottom style="thin">
          <color indexed="9"/>
        </bottom>
      </border>
    </dxf>
    <dxf>
      <font>
        <condense val="0"/>
        <extend val="0"/>
        <color indexed="55"/>
      </font>
      <fill>
        <patternFill>
          <bgColor indexed="22"/>
        </patternFill>
      </fill>
      <border>
        <top style="thin">
          <color indexed="55"/>
        </top>
        <bottom style="thin">
          <color indexed="9"/>
        </bottom>
      </border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55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  <fill>
        <patternFill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55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55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55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5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28</xdr:row>
      <xdr:rowOff>104775</xdr:rowOff>
    </xdr:from>
    <xdr:to>
      <xdr:col>3</xdr:col>
      <xdr:colOff>276225</xdr:colOff>
      <xdr:row>35</xdr:row>
      <xdr:rowOff>66675</xdr:rowOff>
    </xdr:to>
    <xdr:pic>
      <xdr:nvPicPr>
        <xdr:cNvPr id="1393" name="Picture 312" descr="ZKN_korporacyjny_negatyw_SZA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5172075"/>
          <a:ext cx="21240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S214"/>
  <sheetViews>
    <sheetView showZeros="0" tabSelected="1" topLeftCell="A2" workbookViewId="0">
      <selection activeCell="D12" sqref="D12:D13"/>
    </sheetView>
  </sheetViews>
  <sheetFormatPr defaultRowHeight="12.75"/>
  <cols>
    <col min="1" max="1" width="14.5703125" style="58" customWidth="1"/>
    <col min="2" max="2" width="5.42578125" style="58" customWidth="1"/>
    <col min="3" max="3" width="9.42578125" style="58" customWidth="1"/>
    <col min="4" max="4" width="6.140625" style="58" customWidth="1"/>
    <col min="5" max="5" width="28.85546875" style="58" customWidth="1"/>
    <col min="6" max="6" width="7.42578125" style="58" customWidth="1"/>
    <col min="7" max="7" width="5.28515625" style="58" customWidth="1"/>
    <col min="8" max="8" width="7.140625" style="58" customWidth="1"/>
    <col min="9" max="9" width="11.140625" style="58" customWidth="1"/>
    <col min="10" max="11" width="10.7109375" style="58" customWidth="1"/>
    <col min="12" max="12" width="18.7109375" style="58" hidden="1" customWidth="1"/>
    <col min="13" max="13" width="18" style="58" hidden="1" customWidth="1"/>
    <col min="14" max="14" width="9.7109375" style="58" hidden="1" customWidth="1"/>
    <col min="15" max="15" width="9.140625" style="58" hidden="1" customWidth="1"/>
    <col min="16" max="16384" width="9.140625" style="58"/>
  </cols>
  <sheetData>
    <row r="1" spans="1:15" hidden="1">
      <c r="A1" s="257" t="str">
        <f>CONCATENATE("ALPOL EKO PLUS WM - ",B67," ",B68)</f>
        <v>ALPOL EKO PLUS WM - Kalkulator systemu ociepleń - wer. 2011.06</v>
      </c>
      <c r="B1" s="257"/>
      <c r="C1" s="257"/>
      <c r="D1" s="257"/>
      <c r="E1" s="403"/>
      <c r="F1" s="402" t="s">
        <v>179</v>
      </c>
      <c r="G1" s="402"/>
      <c r="H1" s="402"/>
      <c r="I1" s="204" t="s">
        <v>180</v>
      </c>
      <c r="L1" s="137" t="s">
        <v>46</v>
      </c>
      <c r="M1" s="224">
        <f>VLOOKUP(I1,Języki,2,0)</f>
        <v>1</v>
      </c>
    </row>
    <row r="2" spans="1:15" ht="15" customHeight="1">
      <c r="A2" s="257"/>
      <c r="B2" s="257"/>
      <c r="C2" s="257"/>
      <c r="D2" s="257"/>
      <c r="E2" s="403"/>
      <c r="F2" s="407" t="str">
        <f>B70</f>
        <v>Kalkulacja wg. cen:</v>
      </c>
      <c r="G2" s="429"/>
      <c r="H2" s="429"/>
      <c r="I2" s="204" t="s">
        <v>566</v>
      </c>
      <c r="L2" s="137" t="s">
        <v>50</v>
      </c>
      <c r="M2" s="237" t="str">
        <f>CONCATENATE("[",LEFT(I2,3),"]")</f>
        <v>[PLN]</v>
      </c>
      <c r="N2" s="225">
        <f>IF(M2="[EUR]",0,1)</f>
        <v>1</v>
      </c>
    </row>
    <row r="3" spans="1:15" ht="15.95" customHeight="1" thickBot="1">
      <c r="A3" s="404"/>
      <c r="B3" s="404"/>
      <c r="C3" s="404"/>
      <c r="D3" s="404"/>
      <c r="E3" s="405"/>
      <c r="F3" s="406" t="str">
        <f>B71</f>
        <v>Kurs PLN / EUR:</v>
      </c>
      <c r="G3" s="407"/>
      <c r="H3" s="407"/>
      <c r="I3" s="226">
        <v>0.25</v>
      </c>
      <c r="L3" s="59"/>
    </row>
    <row r="4" spans="1:15" ht="15.95" hidden="1" customHeight="1">
      <c r="A4" s="257" t="str">
        <f>B76</f>
        <v>Dystrybutor:</v>
      </c>
      <c r="B4" s="258"/>
      <c r="C4" s="264" t="s">
        <v>47</v>
      </c>
      <c r="D4" s="264"/>
      <c r="E4" s="265"/>
      <c r="F4" s="419" t="str">
        <f>B79</f>
        <v>Rabat dustrybutora [%]:</v>
      </c>
      <c r="G4" s="419"/>
      <c r="H4" s="419"/>
      <c r="I4" s="205"/>
      <c r="L4" s="238" t="str">
        <f>Ceny!E39</f>
        <v>PLN brutto</v>
      </c>
    </row>
    <row r="5" spans="1:15" ht="15.95" hidden="1" customHeight="1" thickBot="1">
      <c r="A5" s="259"/>
      <c r="B5" s="259"/>
      <c r="C5" s="262" t="s">
        <v>48</v>
      </c>
      <c r="D5" s="262"/>
      <c r="E5" s="263"/>
      <c r="F5" s="290" t="str">
        <f>B80</f>
        <v>Narzut dystrybutora [%]:</v>
      </c>
      <c r="G5" s="290"/>
      <c r="H5" s="290"/>
      <c r="I5" s="206">
        <v>0</v>
      </c>
      <c r="L5" s="239" t="str">
        <f>CONCATENATE(B75," ",M2," ",RIGHT(I2,LEN(I2)-4))</f>
        <v>Ceny [PLN] netto</v>
      </c>
    </row>
    <row r="6" spans="1:15" ht="15.95" customHeight="1" thickTop="1">
      <c r="A6" s="144"/>
      <c r="B6" s="144"/>
      <c r="C6" s="144"/>
      <c r="D6" s="144"/>
      <c r="E6" s="144"/>
      <c r="F6" s="144"/>
      <c r="G6" s="144"/>
      <c r="H6" s="144"/>
      <c r="I6" s="144"/>
      <c r="L6" s="59"/>
    </row>
    <row r="7" spans="1:15" ht="15.95" customHeight="1">
      <c r="A7" s="260" t="str">
        <f>B83</f>
        <v>Projekt:</v>
      </c>
      <c r="B7" s="266" t="s">
        <v>45</v>
      </c>
      <c r="C7" s="267"/>
      <c r="D7" s="267"/>
      <c r="E7" s="267"/>
      <c r="F7" s="267"/>
      <c r="G7" s="268"/>
      <c r="H7" s="275" t="str">
        <f>B85</f>
        <v>data sporządzenia</v>
      </c>
      <c r="I7" s="276"/>
      <c r="J7" s="59"/>
      <c r="L7" s="59"/>
    </row>
    <row r="8" spans="1:15" ht="15.95" customHeight="1">
      <c r="A8" s="261"/>
      <c r="B8" s="279" t="s">
        <v>49</v>
      </c>
      <c r="C8" s="280"/>
      <c r="D8" s="280"/>
      <c r="E8" s="280"/>
      <c r="F8" s="280"/>
      <c r="G8" s="281"/>
      <c r="H8" s="277">
        <v>40697</v>
      </c>
      <c r="I8" s="278"/>
      <c r="J8" s="59"/>
      <c r="L8" s="59"/>
      <c r="O8" s="84"/>
    </row>
    <row r="9" spans="1:15" ht="17.100000000000001" customHeight="1">
      <c r="A9" s="293"/>
      <c r="B9" s="294"/>
      <c r="C9" s="294"/>
      <c r="D9" s="294"/>
      <c r="E9" s="294"/>
      <c r="F9" s="294"/>
      <c r="G9" s="294"/>
      <c r="H9" s="294"/>
      <c r="I9" s="294"/>
      <c r="J9" s="59"/>
      <c r="L9" s="59"/>
      <c r="M9" s="60"/>
    </row>
    <row r="10" spans="1:15" ht="24.95" customHeight="1">
      <c r="A10" s="269" t="str">
        <f>CONCATENATE(B86," ALPOL EKO PLUS WM")</f>
        <v>SYSTEM DOCIEPLANIA ŚCIAN ALPOL EKO PLUS WM</v>
      </c>
      <c r="B10" s="270"/>
      <c r="C10" s="270"/>
      <c r="D10" s="270"/>
      <c r="E10" s="270"/>
      <c r="F10" s="270"/>
      <c r="G10" s="270"/>
      <c r="H10" s="270"/>
      <c r="I10" s="271"/>
      <c r="J10" s="59"/>
      <c r="L10" s="59"/>
    </row>
    <row r="11" spans="1:15" ht="20.100000000000001" customHeight="1">
      <c r="A11" s="272" t="str">
        <f>CONCATENATE(IF(L12="E",B87,B88)," ",B89)</f>
        <v>docieplenie ścian zewnętrznych z zastosowaniem wełny mineralnej</v>
      </c>
      <c r="B11" s="273"/>
      <c r="C11" s="273"/>
      <c r="D11" s="273"/>
      <c r="E11" s="273"/>
      <c r="F11" s="273"/>
      <c r="G11" s="273"/>
      <c r="H11" s="273"/>
      <c r="I11" s="274"/>
      <c r="J11" s="59"/>
      <c r="L11" s="218" t="str">
        <f>IF(OR(F12=Ceny!H47,F12=Ceny!H51),"N","N")</f>
        <v>N</v>
      </c>
    </row>
    <row r="12" spans="1:15" s="62" customFormat="1" ht="15.95" customHeight="1">
      <c r="A12" s="286" t="str">
        <f>B90</f>
        <v>Powierzchnia ocieplenia [m2]:</v>
      </c>
      <c r="B12" s="287"/>
      <c r="C12" s="287"/>
      <c r="D12" s="284">
        <v>1000</v>
      </c>
      <c r="E12" s="31" t="str">
        <f>B92</f>
        <v>Rodzaj i parametry przegrody:</v>
      </c>
      <c r="F12" s="282" t="s">
        <v>85</v>
      </c>
      <c r="G12" s="282"/>
      <c r="H12" s="282"/>
      <c r="I12" s="283"/>
      <c r="J12" s="61"/>
      <c r="L12" s="95" t="str">
        <f>VLOOKUP(F12,tabela_budynki,5,0)</f>
        <v>E</v>
      </c>
    </row>
    <row r="13" spans="1:15" s="64" customFormat="1" ht="15.95" customHeight="1">
      <c r="A13" s="288" t="str">
        <f>B89</f>
        <v>z zastosowaniem wełny mineralnej</v>
      </c>
      <c r="B13" s="289"/>
      <c r="C13" s="289"/>
      <c r="D13" s="285"/>
      <c r="E13" s="32" t="str">
        <f>IF(L12="E",B103,B104)</f>
        <v>Materiał konstrukcyjny ściany:</v>
      </c>
      <c r="F13" s="291" t="s">
        <v>96</v>
      </c>
      <c r="G13" s="291"/>
      <c r="H13" s="291"/>
      <c r="I13" s="292"/>
      <c r="J13" s="63"/>
      <c r="L13" s="95">
        <f>VLOOKUP(F14,tab_rodzaje_wełny,2,0)</f>
        <v>4</v>
      </c>
      <c r="M13" s="95" t="str">
        <f>IF(przegroda="G","rodzaje_wełny","rodzaje_wełny")</f>
        <v>rodzaje_wełny</v>
      </c>
    </row>
    <row r="14" spans="1:15" s="64" customFormat="1" ht="15.95" customHeight="1" thickBot="1">
      <c r="A14" s="430" t="str">
        <f>B91</f>
        <v>Grubość materiału izolacji [cm]:</v>
      </c>
      <c r="B14" s="431"/>
      <c r="C14" s="432"/>
      <c r="D14" s="24">
        <v>20</v>
      </c>
      <c r="E14" s="25" t="str">
        <f>B109</f>
        <v>Rodzaj materiału izolacji:</v>
      </c>
      <c r="F14" s="420" t="s">
        <v>176</v>
      </c>
      <c r="G14" s="421"/>
      <c r="H14" s="421"/>
      <c r="I14" s="422"/>
      <c r="J14" s="63"/>
      <c r="L14" s="117" t="str">
        <f>VLOOKUP(F14,tab_rodzaje_wełny,3,0)</f>
        <v>P</v>
      </c>
      <c r="M14" s="125">
        <f>IF(D14&gt;0,1,0)</f>
        <v>1</v>
      </c>
    </row>
    <row r="15" spans="1:15" ht="21" customHeight="1" thickTop="1">
      <c r="A15" s="426"/>
      <c r="B15" s="426"/>
      <c r="C15" s="426"/>
      <c r="D15" s="426"/>
      <c r="E15" s="426"/>
      <c r="F15" s="426"/>
      <c r="G15" s="426"/>
      <c r="H15" s="426"/>
      <c r="I15" s="426"/>
      <c r="J15" s="160" t="str">
        <f>B122</f>
        <v>Rabaty</v>
      </c>
      <c r="K15" s="423" t="str">
        <f>H16</f>
        <v>Ceny [PLN] netto</v>
      </c>
      <c r="L15" s="137" t="s">
        <v>46</v>
      </c>
    </row>
    <row r="16" spans="1:15" ht="15" customHeight="1">
      <c r="A16" s="251" t="str">
        <f>CONCATENATE("ALPOL EKO PLUS WM - ",B124)</f>
        <v>ALPOL EKO PLUS WM - Materiały warstwy izolacyjno- zbrojeniowej</v>
      </c>
      <c r="B16" s="252"/>
      <c r="C16" s="252"/>
      <c r="D16" s="252"/>
      <c r="E16" s="253"/>
      <c r="F16" s="68" t="str">
        <f>B117</f>
        <v>Zużycie</v>
      </c>
      <c r="G16" s="303" t="str">
        <f>B120</f>
        <v>Jedn.</v>
      </c>
      <c r="H16" s="295" t="str">
        <f>L5</f>
        <v>Ceny [PLN] netto</v>
      </c>
      <c r="I16" s="296"/>
      <c r="J16" s="159" t="str">
        <f>B123</f>
        <v>od pozycji</v>
      </c>
      <c r="K16" s="424"/>
      <c r="L16" s="136">
        <v>1</v>
      </c>
    </row>
    <row r="17" spans="1:19" ht="15" customHeight="1">
      <c r="A17" s="254"/>
      <c r="B17" s="255"/>
      <c r="C17" s="255"/>
      <c r="D17" s="255"/>
      <c r="E17" s="256"/>
      <c r="F17" s="139" t="str">
        <f>CONCATENATE(B118," ",B119)</f>
        <v>na 1m2</v>
      </c>
      <c r="G17" s="304"/>
      <c r="H17" s="140" t="str">
        <f>B120</f>
        <v>Jedn.</v>
      </c>
      <c r="I17" s="141" t="str">
        <f>B119</f>
        <v>1m2</v>
      </c>
      <c r="J17" s="161" t="s">
        <v>9</v>
      </c>
      <c r="K17" s="424" t="str">
        <f>B204</f>
        <v>tnki    grunty   farby   grupa IV</v>
      </c>
      <c r="L17" s="145" t="s">
        <v>54</v>
      </c>
      <c r="M17" s="117" t="str">
        <f>IF(C22=Ceny!A13,"0",IF(C22&gt;="AT 370","S","M"))</f>
        <v>S</v>
      </c>
      <c r="O17" s="245" t="s">
        <v>600</v>
      </c>
    </row>
    <row r="18" spans="1:19" ht="12.75" customHeight="1">
      <c r="A18" s="300" t="str">
        <f>B125</f>
        <v>Klej do przyklejania płyt</v>
      </c>
      <c r="B18" s="301"/>
      <c r="C18" s="297" t="s">
        <v>57</v>
      </c>
      <c r="D18" s="298"/>
      <c r="E18" s="298"/>
      <c r="F18" s="209">
        <v>5</v>
      </c>
      <c r="G18" s="5" t="str">
        <f>B208</f>
        <v>kg</v>
      </c>
      <c r="H18" s="6">
        <f>IF($C18&gt;0,VLOOKUP($C18,produkty,6,0)*cena,0)*L18</f>
        <v>1.4</v>
      </c>
      <c r="I18" s="88">
        <f>H18*F18</f>
        <v>7</v>
      </c>
      <c r="J18" s="163"/>
      <c r="K18" s="425"/>
      <c r="L18" s="81">
        <f>(1-J18)</f>
        <v>1</v>
      </c>
      <c r="N18" s="219">
        <v>1.1000000000000001</v>
      </c>
    </row>
    <row r="19" spans="1:19" ht="12.75" customHeight="1">
      <c r="A19" s="300" t="str">
        <f>B126</f>
        <v>Siatka zbrojąca</v>
      </c>
      <c r="B19" s="301"/>
      <c r="C19" s="427" t="s">
        <v>58</v>
      </c>
      <c r="D19" s="428"/>
      <c r="E19" s="428"/>
      <c r="F19" s="210">
        <v>1.1000000000000001</v>
      </c>
      <c r="G19" s="5" t="str">
        <f>B209</f>
        <v>m2</v>
      </c>
      <c r="H19" s="6">
        <f>IF($C19&gt;0,VLOOKUP($C19,produkty,6,0)*cena,0)*L19</f>
        <v>3.5</v>
      </c>
      <c r="I19" s="88">
        <f>H19*F19</f>
        <v>3.8500000000000005</v>
      </c>
      <c r="J19" s="164">
        <v>0</v>
      </c>
      <c r="K19" s="425"/>
      <c r="L19" s="81">
        <f>(1-J19)</f>
        <v>1</v>
      </c>
      <c r="N19" s="219">
        <v>1.1499999999999999</v>
      </c>
    </row>
    <row r="20" spans="1:19" ht="12.75" customHeight="1">
      <c r="A20" s="300" t="str">
        <f>B127</f>
        <v>Klej do zatapiania siatki</v>
      </c>
      <c r="B20" s="301"/>
      <c r="C20" s="328" t="s">
        <v>57</v>
      </c>
      <c r="D20" s="329"/>
      <c r="E20" s="329"/>
      <c r="F20" s="207">
        <v>5.5</v>
      </c>
      <c r="G20" s="5" t="str">
        <f>B208</f>
        <v>kg</v>
      </c>
      <c r="H20" s="7">
        <f>IF($C20&gt;0,VLOOKUP($C20,produkty,6,0)*cena,0)*L20</f>
        <v>1.4</v>
      </c>
      <c r="I20" s="88">
        <f>H20*F20</f>
        <v>7.6999999999999993</v>
      </c>
      <c r="J20" s="165"/>
      <c r="K20" s="425"/>
      <c r="L20" s="81">
        <f>(1-J20)</f>
        <v>1</v>
      </c>
      <c r="N20" s="219">
        <v>1.2</v>
      </c>
    </row>
    <row r="21" spans="1:19" ht="21.95" customHeight="1">
      <c r="A21" s="330" t="str">
        <f>CONCATENATE("ALPOL EKO PLUS WM - ",B128)</f>
        <v>ALPOL EKO PLUS WM - Materiały wyprawy elewacyjnej</v>
      </c>
      <c r="B21" s="331"/>
      <c r="C21" s="331"/>
      <c r="D21" s="331"/>
      <c r="E21" s="332"/>
      <c r="F21" s="311"/>
      <c r="G21" s="312"/>
      <c r="H21" s="312"/>
      <c r="I21" s="313"/>
      <c r="J21" s="128"/>
      <c r="K21" s="162"/>
      <c r="L21" s="81"/>
      <c r="M21" s="116">
        <f>M22+M24+M26</f>
        <v>0</v>
      </c>
      <c r="N21" s="235" t="s">
        <v>597</v>
      </c>
    </row>
    <row r="22" spans="1:19" ht="12.75" customHeight="1">
      <c r="A22" s="300" t="str">
        <f t="shared" ref="A22:A27" si="0">B129</f>
        <v>Tynk dekoracyjny</v>
      </c>
      <c r="B22" s="433"/>
      <c r="C22" s="309" t="s">
        <v>162</v>
      </c>
      <c r="D22" s="310"/>
      <c r="E22" s="310"/>
      <c r="F22" s="8">
        <f>IF(OR(AND(tynk="0",przegroda="G"),AND(tynk="S",OR(wysokość="W",przegroda="G"))),0,VLOOKUP($C22,produkty,7,0))</f>
        <v>2.2999999999999998</v>
      </c>
      <c r="G22" s="34" t="str">
        <f>B208</f>
        <v>kg</v>
      </c>
      <c r="H22" s="6">
        <f>IF(OR(AND(tynk="0",przegroda="S"),AND(tynk="S",OR(wysokość="W",przegroda="G"))),0,IF(M22=0,VLOOKUP($C22,produkty,6,0)*cena,K22*(1-I4)*(1+I5)))*L22</f>
        <v>7.31</v>
      </c>
      <c r="I22" s="88">
        <f>H22*F22</f>
        <v>16.812999999999999</v>
      </c>
      <c r="J22" s="166">
        <v>0</v>
      </c>
      <c r="K22" s="167">
        <v>0</v>
      </c>
      <c r="L22" s="81">
        <f>(1-J22)</f>
        <v>1</v>
      </c>
      <c r="M22" s="116">
        <f>IF(AND(C23=Ceny!A39,F22&gt;0,C22&gt;"AT 35"),1,0)</f>
        <v>0</v>
      </c>
      <c r="O22" s="59"/>
      <c r="P22" s="59"/>
    </row>
    <row r="23" spans="1:19" ht="12.75" customHeight="1">
      <c r="A23" s="300" t="str">
        <f t="shared" si="0"/>
        <v>Dopłata do koloru tynku</v>
      </c>
      <c r="B23" s="333"/>
      <c r="C23" s="297" t="s">
        <v>59</v>
      </c>
      <c r="D23" s="298"/>
      <c r="E23" s="298"/>
      <c r="F23" s="35"/>
      <c r="G23" s="36"/>
      <c r="H23" s="7">
        <f>IF(AND(C22&gt;"AT 349",C22&lt;"AT 390"),VLOOKUP(C23,tabela_dopłaty_tf,2,0)*H22,0)</f>
        <v>0</v>
      </c>
      <c r="I23" s="88">
        <f>H23*F22</f>
        <v>0</v>
      </c>
      <c r="J23" s="129"/>
      <c r="K23" s="134"/>
      <c r="L23" s="81">
        <f>(1-J22)</f>
        <v>1</v>
      </c>
    </row>
    <row r="24" spans="1:19" ht="12.75" customHeight="1">
      <c r="A24" s="326" t="str">
        <f t="shared" si="0"/>
        <v>Grunt podtynkowy</v>
      </c>
      <c r="B24" s="327"/>
      <c r="C24" s="307" t="str">
        <f>VLOOKUP($C22,produkty,8,0)</f>
        <v>AG 706 - Grunt pod tynki krzemianowe</v>
      </c>
      <c r="D24" s="308"/>
      <c r="E24" s="308"/>
      <c r="F24" s="8">
        <f>IF($F22&gt;0,VLOOKUP($C24,produkty,7,0),0)</f>
        <v>0.25</v>
      </c>
      <c r="G24" s="34" t="str">
        <f>B208</f>
        <v>kg</v>
      </c>
      <c r="H24" s="6">
        <f>IF($F22&gt;0,IF(M24=0,VLOOKUP($C24,produkty,6,0)*cena,K24*(1-I4)*(1+I5)))*L24</f>
        <v>6.71</v>
      </c>
      <c r="I24" s="88">
        <f>H24*F24</f>
        <v>1.6775</v>
      </c>
      <c r="J24" s="166"/>
      <c r="K24" s="167">
        <v>0</v>
      </c>
      <c r="L24" s="81">
        <f>(1-J24)</f>
        <v>1</v>
      </c>
      <c r="M24" s="116">
        <f>IF(AND(C25=Ceny!A46,F24&gt;0,C24&gt;"AG 702"),1,0)</f>
        <v>0</v>
      </c>
    </row>
    <row r="25" spans="1:19" ht="12.75" customHeight="1">
      <c r="A25" s="300" t="str">
        <f t="shared" si="0"/>
        <v>Dopłata do koloru gruntu</v>
      </c>
      <c r="B25" s="301"/>
      <c r="C25" s="334" t="s">
        <v>60</v>
      </c>
      <c r="D25" s="310"/>
      <c r="E25" s="310"/>
      <c r="F25" s="35"/>
      <c r="G25" s="36"/>
      <c r="H25" s="6">
        <f>IF(C24&lt;"AG 705",0,VLOOKUP(C25,tabela_dopłaty_g,2,0)*H24)</f>
        <v>0</v>
      </c>
      <c r="I25" s="88">
        <f>H25*F24</f>
        <v>0</v>
      </c>
      <c r="J25" s="129"/>
      <c r="K25" s="134"/>
      <c r="L25" s="81">
        <f>(1-J24)</f>
        <v>1</v>
      </c>
    </row>
    <row r="26" spans="1:19" ht="12.75" customHeight="1">
      <c r="A26" s="300" t="str">
        <f t="shared" si="0"/>
        <v>Farba elewacyjna</v>
      </c>
      <c r="B26" s="301"/>
      <c r="C26" s="411" t="s">
        <v>149</v>
      </c>
      <c r="D26" s="412"/>
      <c r="E26" s="412"/>
      <c r="F26" s="8">
        <f>IF(OR(tynk="M",tynk="0"),VLOOKUP($C26,produkty,7,0)*VLOOKUP($C22,produkty,9,0),0)</f>
        <v>0</v>
      </c>
      <c r="G26" s="34" t="str">
        <f>B211</f>
        <v>litr</v>
      </c>
      <c r="H26" s="6">
        <f>IF(AND(C22&lt;"AT 350",M26=0),VLOOKUP($C26,produkty,6,0)*cena,IF(AND(C22&lt;"AT 350",M26=1),K26*(1-I4)*(1+I5),0))*L26</f>
        <v>0</v>
      </c>
      <c r="I26" s="88">
        <f>H26*F26</f>
        <v>0</v>
      </c>
      <c r="J26" s="166"/>
      <c r="K26" s="167">
        <v>0</v>
      </c>
      <c r="L26" s="81">
        <f>(1-J26)</f>
        <v>1</v>
      </c>
      <c r="M26" s="116">
        <f>IF(AND(C27=Ceny!A39,F26&gt;0),1,0)</f>
        <v>0</v>
      </c>
    </row>
    <row r="27" spans="1:19" ht="12.75" customHeight="1" thickBot="1">
      <c r="A27" s="416" t="str">
        <f t="shared" si="0"/>
        <v>Dopłata do koloru farby</v>
      </c>
      <c r="B27" s="417"/>
      <c r="C27" s="418" t="s">
        <v>583</v>
      </c>
      <c r="D27" s="418"/>
      <c r="E27" s="418"/>
      <c r="F27" s="37"/>
      <c r="G27" s="38"/>
      <c r="H27" s="9">
        <f>IF(C26&lt;&gt;B176,VLOOKUP(C27,tabela_dopłaty_tf,3,0)*H26,0)</f>
        <v>0</v>
      </c>
      <c r="I27" s="89">
        <f>H27*F26</f>
        <v>0</v>
      </c>
      <c r="J27" s="127">
        <f>SUM(J18:J26)</f>
        <v>0</v>
      </c>
      <c r="K27" s="135"/>
      <c r="L27" s="81">
        <f>(1-J26)</f>
        <v>1</v>
      </c>
    </row>
    <row r="28" spans="1:19" ht="9" customHeight="1" thickTop="1">
      <c r="A28" s="299"/>
      <c r="B28" s="299"/>
      <c r="C28" s="299"/>
      <c r="D28" s="299"/>
      <c r="E28" s="299"/>
      <c r="F28" s="299"/>
      <c r="G28" s="299"/>
      <c r="H28" s="299"/>
      <c r="I28" s="299"/>
      <c r="J28" s="59"/>
      <c r="L28" s="408"/>
    </row>
    <row r="29" spans="1:19" ht="13.5" customHeight="1">
      <c r="A29" s="317"/>
      <c r="B29" s="318"/>
      <c r="C29" s="318"/>
      <c r="D29" s="319"/>
      <c r="E29" s="10" t="str">
        <f>B144</f>
        <v>RAZEM:</v>
      </c>
      <c r="F29" s="4">
        <v>1</v>
      </c>
      <c r="G29" s="11" t="str">
        <f>B209</f>
        <v>m2</v>
      </c>
      <c r="H29" s="23" t="str">
        <f>M2</f>
        <v>[PLN]</v>
      </c>
      <c r="I29" s="12">
        <f>SUM(I18:I27)</f>
        <v>37.040500000000002</v>
      </c>
      <c r="J29" s="59"/>
      <c r="L29" s="410"/>
    </row>
    <row r="30" spans="1:19" ht="6.75" customHeight="1">
      <c r="A30" s="320"/>
      <c r="B30" s="321"/>
      <c r="C30" s="321"/>
      <c r="D30" s="322"/>
      <c r="E30" s="414"/>
      <c r="F30" s="414"/>
      <c r="G30" s="414"/>
      <c r="H30" s="414"/>
      <c r="I30" s="415"/>
      <c r="J30" s="59"/>
      <c r="L30" s="408"/>
    </row>
    <row r="31" spans="1:19" ht="13.5" customHeight="1">
      <c r="A31" s="320"/>
      <c r="B31" s="321"/>
      <c r="C31" s="321"/>
      <c r="D31" s="322"/>
      <c r="E31" s="14" t="str">
        <f>B144</f>
        <v>RAZEM:</v>
      </c>
      <c r="F31" s="142">
        <f>$D$12</f>
        <v>1000</v>
      </c>
      <c r="G31" s="30" t="str">
        <f>B209</f>
        <v>m2</v>
      </c>
      <c r="H31" s="143" t="str">
        <f>M2</f>
        <v>[PLN]</v>
      </c>
      <c r="I31" s="17">
        <f>I29*F31</f>
        <v>37040.5</v>
      </c>
      <c r="J31" s="59"/>
      <c r="L31" s="409"/>
    </row>
    <row r="32" spans="1:19" ht="6.75" customHeight="1">
      <c r="A32" s="320"/>
      <c r="B32" s="321"/>
      <c r="C32" s="321"/>
      <c r="D32" s="322"/>
      <c r="E32" s="413"/>
      <c r="F32" s="414"/>
      <c r="G32" s="414"/>
      <c r="H32" s="414"/>
      <c r="I32" s="415"/>
      <c r="J32" s="59"/>
      <c r="L32" s="409"/>
      <c r="S32" s="82"/>
    </row>
    <row r="33" spans="1:19" ht="13.5" customHeight="1">
      <c r="A33" s="320"/>
      <c r="B33" s="321"/>
      <c r="C33" s="321"/>
      <c r="D33" s="322"/>
      <c r="E33" s="14" t="str">
        <f>B145</f>
        <v>RABAT NA SYSTEM:</v>
      </c>
      <c r="F33" s="16"/>
      <c r="G33" s="15" t="s">
        <v>9</v>
      </c>
      <c r="H33" s="143" t="str">
        <f>M2</f>
        <v>[PLN]</v>
      </c>
      <c r="I33" s="17">
        <f>I31*F33/100*(-1)</f>
        <v>0</v>
      </c>
      <c r="J33" s="59"/>
      <c r="L33" s="223" t="s">
        <v>40</v>
      </c>
      <c r="M33" s="220" t="s">
        <v>0</v>
      </c>
      <c r="S33" s="82"/>
    </row>
    <row r="34" spans="1:19">
      <c r="A34" s="320"/>
      <c r="B34" s="323"/>
      <c r="C34" s="323"/>
      <c r="D34" s="322"/>
      <c r="E34" s="314"/>
      <c r="F34" s="315"/>
      <c r="G34" s="315"/>
      <c r="H34" s="315"/>
      <c r="I34" s="316"/>
      <c r="J34" s="59"/>
      <c r="L34" s="1" t="s">
        <v>37</v>
      </c>
      <c r="M34" s="221">
        <f>IF(wełna="P",4.5,5)</f>
        <v>4.5</v>
      </c>
      <c r="N34" s="208">
        <v>5</v>
      </c>
      <c r="S34" s="82"/>
    </row>
    <row r="35" spans="1:19">
      <c r="A35" s="320"/>
      <c r="B35" s="323"/>
      <c r="C35" s="323"/>
      <c r="D35" s="322"/>
      <c r="E35" s="371" t="str">
        <f>B146</f>
        <v>RAZEM MATERIAŁY ALPOL Z RABATEM:</v>
      </c>
      <c r="F35" s="372"/>
      <c r="G35" s="372"/>
      <c r="H35" s="375" t="str">
        <f>B75</f>
        <v>Ceny</v>
      </c>
      <c r="I35" s="390">
        <f>I31+I33</f>
        <v>37040.5</v>
      </c>
      <c r="J35" s="59"/>
      <c r="L35" s="99">
        <v>0</v>
      </c>
      <c r="M35" s="221">
        <f>IF(wełna="P",5,5.5)</f>
        <v>5</v>
      </c>
      <c r="N35" s="208">
        <v>5.5</v>
      </c>
      <c r="S35" s="83"/>
    </row>
    <row r="36" spans="1:19">
      <c r="A36" s="324"/>
      <c r="B36" s="315"/>
      <c r="C36" s="315"/>
      <c r="D36" s="316"/>
      <c r="E36" s="373"/>
      <c r="F36" s="374"/>
      <c r="G36" s="374"/>
      <c r="H36" s="376"/>
      <c r="I36" s="391"/>
      <c r="J36" s="59"/>
      <c r="L36" s="97" t="s">
        <v>38</v>
      </c>
      <c r="M36" s="221">
        <f>IF(wełna="P",5.5,6)</f>
        <v>5.5</v>
      </c>
      <c r="N36" s="208">
        <v>6</v>
      </c>
      <c r="S36" s="59"/>
    </row>
    <row r="37" spans="1:19" ht="21" customHeight="1" thickBot="1">
      <c r="A37" s="325"/>
      <c r="B37" s="294"/>
      <c r="C37" s="294"/>
      <c r="D37" s="294"/>
      <c r="E37" s="294"/>
      <c r="F37" s="294"/>
      <c r="G37" s="294"/>
      <c r="H37" s="294"/>
      <c r="I37" s="294"/>
      <c r="J37" s="102"/>
      <c r="L37" s="98">
        <v>0</v>
      </c>
      <c r="M37" s="222"/>
    </row>
    <row r="38" spans="1:19" ht="15" customHeight="1" thickTop="1">
      <c r="A38" s="382" t="str">
        <f>CONCATENATE(B148,", ",B149)</f>
        <v>Materiał izolacji termicznej, łączniki mechaniczne i materiały uzupełniające</v>
      </c>
      <c r="B38" s="383"/>
      <c r="C38" s="383"/>
      <c r="D38" s="383"/>
      <c r="E38" s="384"/>
      <c r="F38" s="68" t="str">
        <f>F16</f>
        <v>Zużycie</v>
      </c>
      <c r="G38" s="303" t="str">
        <f>G16</f>
        <v>Jedn.</v>
      </c>
      <c r="H38" s="295" t="str">
        <f>H16</f>
        <v>Ceny [PLN] netto</v>
      </c>
      <c r="I38" s="296">
        <f>I16</f>
        <v>0</v>
      </c>
      <c r="J38" s="168" t="str">
        <f>B150</f>
        <v>Rabat</v>
      </c>
      <c r="K38" s="367" t="str">
        <f>H16</f>
        <v>Ceny [PLN] netto</v>
      </c>
      <c r="L38" s="1" t="s">
        <v>39</v>
      </c>
      <c r="M38" s="222"/>
    </row>
    <row r="39" spans="1:19" ht="15" customHeight="1">
      <c r="A39" s="385"/>
      <c r="B39" s="386"/>
      <c r="C39" s="386"/>
      <c r="D39" s="386"/>
      <c r="E39" s="387"/>
      <c r="F39" s="69" t="str">
        <f>F17</f>
        <v>na 1m2</v>
      </c>
      <c r="G39" s="304"/>
      <c r="H39" s="140" t="str">
        <f>H17</f>
        <v>Jedn.</v>
      </c>
      <c r="I39" s="141" t="str">
        <f>I17</f>
        <v>1m2</v>
      </c>
      <c r="J39" s="169" t="s">
        <v>9</v>
      </c>
      <c r="K39" s="368"/>
      <c r="L39" s="96">
        <f>1*(1-L35)*(1+L37)</f>
        <v>1</v>
      </c>
      <c r="M39" s="222"/>
    </row>
    <row r="40" spans="1:19" ht="12.75" customHeight="1">
      <c r="A40" s="300" t="str">
        <f>B151</f>
        <v>Izolacja termiczna</v>
      </c>
      <c r="B40" s="301"/>
      <c r="C40" s="305" t="str">
        <f>IF(D14&gt;0,CONCATENATE(F14," ",B152," ",TEXT(D14,"0")," ",B158),F14)</f>
        <v>wełna fasadowa Frontrock MAX E grubości 20 cm</v>
      </c>
      <c r="D40" s="306"/>
      <c r="E40" s="306"/>
      <c r="F40" s="79">
        <v>1</v>
      </c>
      <c r="G40" s="5" t="str">
        <f>B209</f>
        <v>m2</v>
      </c>
      <c r="H40" s="131">
        <f>IF(L13&gt;6,K40*M14,IF(NOT(M40),VLOOKUP(D14,ceny_wełny,L13,0)))*cena*L$39*L40</f>
        <v>59.02</v>
      </c>
      <c r="I40" s="49">
        <f>IF(ISNA(H40),0,H40*F40)</f>
        <v>59.02</v>
      </c>
      <c r="J40" s="170">
        <v>0</v>
      </c>
      <c r="K40" s="171"/>
      <c r="L40" s="100">
        <f>(1-J40)</f>
        <v>1</v>
      </c>
      <c r="M40" s="214" t="b">
        <f>ISNA(VLOOKUP(D14,ceny_wełny,L13,0))</f>
        <v>0</v>
      </c>
      <c r="N40" s="219">
        <v>1</v>
      </c>
    </row>
    <row r="41" spans="1:19" ht="12.75" customHeight="1">
      <c r="A41" s="300" t="str">
        <f>B153</f>
        <v>Łączniki mechaniczne</v>
      </c>
      <c r="B41" s="302"/>
      <c r="C41" s="335" t="str">
        <f>IF(F41=0,B154,IF(D14&gt;0,CONCATENATE(VLOOKUP(F13,tabela_ściany,3,0)," ",B157," ",,TEXT(D14+VLOOKUP(F13,tabela_ściany,2,0)+VLOOKUP(F12,tabela_budynki,4,0),"0")," ",B158),VLOOKUP(F13,tabela_ściany,3,0)))</f>
        <v>Łącznik z trzpieniem stalowym wbijanym dł. min. 29 cm</v>
      </c>
      <c r="D41" s="336"/>
      <c r="E41" s="336"/>
      <c r="F41" s="80">
        <f>IF(L14="L",VLOOKUP(F12,tabela_budynki,2,0),VLOOKUP(F12,tabela_budynki,3,0))</f>
        <v>6</v>
      </c>
      <c r="G41" s="34" t="str">
        <f>B206</f>
        <v>szt.</v>
      </c>
      <c r="H41" s="132">
        <f>K41*L41*cena</f>
        <v>0</v>
      </c>
      <c r="I41" s="49">
        <f>H41*F41</f>
        <v>0</v>
      </c>
      <c r="J41" s="172"/>
      <c r="K41" s="173"/>
      <c r="L41" s="101">
        <f>(1-J41)</f>
        <v>1</v>
      </c>
      <c r="M41" s="214" t="b">
        <f>IF(NOT(M40),IF(VLOOKUP(D14,ceny_wełny,L13,0)=0,TRUE,FALSE))</f>
        <v>0</v>
      </c>
      <c r="N41" s="219">
        <v>1.03</v>
      </c>
    </row>
    <row r="42" spans="1:19" ht="12.75" customHeight="1">
      <c r="A42" s="388" t="str">
        <f>B159</f>
        <v>Kołnierze dociskowe</v>
      </c>
      <c r="B42" s="389"/>
      <c r="C42" s="350" t="str">
        <f>IF(AND(C41&lt;&gt;B154,L14="L"),B160,"")</f>
        <v/>
      </c>
      <c r="D42" s="338"/>
      <c r="E42" s="338"/>
      <c r="F42" s="80">
        <f>IF(C42&gt;"",F41,0)</f>
        <v>0</v>
      </c>
      <c r="G42" s="34" t="str">
        <f>B206</f>
        <v>szt.</v>
      </c>
      <c r="H42" s="131">
        <f>K42*L42*cena</f>
        <v>0</v>
      </c>
      <c r="I42" s="88">
        <f>H42*F42</f>
        <v>0</v>
      </c>
      <c r="J42" s="174">
        <v>0</v>
      </c>
      <c r="K42" s="175"/>
      <c r="L42" s="101">
        <f>(1-J42)</f>
        <v>1</v>
      </c>
      <c r="M42" s="214" t="b">
        <f>OR(M40,M41)</f>
        <v>0</v>
      </c>
      <c r="N42" s="219">
        <v>1.05</v>
      </c>
    </row>
    <row r="43" spans="1:19" ht="12.75" customHeight="1" thickBot="1">
      <c r="A43" s="348" t="str">
        <f>B161</f>
        <v>Materiały uzupełniające</v>
      </c>
      <c r="B43" s="349"/>
      <c r="C43" s="350" t="str">
        <f>B162</f>
        <v>Cena szacunkowa na 1 m2 powierzchni ocieplenia</v>
      </c>
      <c r="D43" s="338"/>
      <c r="E43" s="338"/>
      <c r="F43" s="70"/>
      <c r="G43" s="71"/>
      <c r="H43" s="133"/>
      <c r="I43" s="93">
        <f>H43</f>
        <v>0</v>
      </c>
      <c r="J43" s="94"/>
      <c r="K43" s="130"/>
      <c r="M43" s="214" t="b">
        <f>IF(L13&lt;6,TRUE,FALSE)</f>
        <v>1</v>
      </c>
    </row>
    <row r="44" spans="1:19" ht="6" customHeight="1" thickTop="1">
      <c r="A44" s="364"/>
      <c r="B44" s="365"/>
      <c r="C44" s="365"/>
      <c r="D44" s="365"/>
      <c r="E44" s="365"/>
      <c r="F44" s="365"/>
      <c r="G44" s="365"/>
      <c r="H44" s="365"/>
      <c r="I44" s="366"/>
      <c r="J44" s="59"/>
    </row>
    <row r="45" spans="1:19" ht="13.5" customHeight="1">
      <c r="A45" s="354" t="str">
        <f>E29</f>
        <v>RAZEM:</v>
      </c>
      <c r="B45" s="356"/>
      <c r="C45" s="356"/>
      <c r="D45" s="356"/>
      <c r="E45" s="356"/>
      <c r="F45" s="183">
        <v>1</v>
      </c>
      <c r="G45" s="181" t="str">
        <f>B209</f>
        <v>m2</v>
      </c>
      <c r="H45" s="182" t="str">
        <f>M2</f>
        <v>[PLN]</v>
      </c>
      <c r="I45" s="178">
        <f>SUM(I40:I43)</f>
        <v>59.02</v>
      </c>
      <c r="J45" s="59"/>
      <c r="M45" s="58">
        <v>0</v>
      </c>
    </row>
    <row r="46" spans="1:19" ht="6" customHeight="1">
      <c r="A46" s="357"/>
      <c r="B46" s="358"/>
      <c r="C46" s="358"/>
      <c r="D46" s="358"/>
      <c r="E46" s="358"/>
      <c r="F46" s="358"/>
      <c r="G46" s="358"/>
      <c r="H46" s="358"/>
      <c r="I46" s="359"/>
      <c r="J46" s="59"/>
    </row>
    <row r="47" spans="1:19" ht="13.5" customHeight="1">
      <c r="A47" s="354" t="str">
        <f>E31</f>
        <v>RAZEM:</v>
      </c>
      <c r="B47" s="355"/>
      <c r="C47" s="355"/>
      <c r="D47" s="355"/>
      <c r="E47" s="355"/>
      <c r="F47" s="180">
        <f>$D$12</f>
        <v>1000</v>
      </c>
      <c r="G47" s="181" t="str">
        <f>B209</f>
        <v>m2</v>
      </c>
      <c r="H47" s="182" t="str">
        <f>M2</f>
        <v>[PLN]</v>
      </c>
      <c r="I47" s="179">
        <f>F47*I45</f>
        <v>59020</v>
      </c>
      <c r="J47" s="59"/>
      <c r="M47" s="158"/>
    </row>
    <row r="48" spans="1:19" ht="21" customHeight="1">
      <c r="A48" s="318"/>
      <c r="B48" s="318"/>
      <c r="C48" s="318"/>
      <c r="D48" s="318"/>
      <c r="E48" s="318"/>
      <c r="F48" s="318"/>
      <c r="G48" s="318"/>
      <c r="H48" s="318"/>
      <c r="I48" s="318"/>
    </row>
    <row r="49" spans="1:12" ht="17.100000000000001" customHeight="1">
      <c r="A49" s="377" t="str">
        <f>B163</f>
        <v>ZESTAWIENIE ILOŚCIOWO-WARTOŚCIOWE MATERIAŁÓW</v>
      </c>
      <c r="B49" s="378"/>
      <c r="C49" s="378"/>
      <c r="D49" s="378"/>
      <c r="E49" s="378"/>
      <c r="F49" s="378"/>
      <c r="G49" s="378"/>
      <c r="H49" s="378"/>
      <c r="I49" s="379"/>
    </row>
    <row r="50" spans="1:12" ht="17.100000000000001" customHeight="1">
      <c r="A50" s="351" t="str">
        <f>B164</f>
        <v>ceny materiałów z rabatem, po przeliczeniu na pełne opakowania</v>
      </c>
      <c r="B50" s="352"/>
      <c r="C50" s="352"/>
      <c r="D50" s="352"/>
      <c r="E50" s="352"/>
      <c r="F50" s="352"/>
      <c r="G50" s="352"/>
      <c r="H50" s="352"/>
      <c r="I50" s="353"/>
    </row>
    <row r="51" spans="1:12" ht="8.1" customHeight="1">
      <c r="A51" s="360"/>
      <c r="B51" s="360"/>
      <c r="C51" s="360"/>
      <c r="D51" s="360"/>
      <c r="E51" s="360"/>
      <c r="F51" s="360"/>
      <c r="G51" s="360"/>
      <c r="H51" s="360"/>
      <c r="I51" s="360"/>
    </row>
    <row r="52" spans="1:12" s="65" customFormat="1" ht="16.5" customHeight="1">
      <c r="A52" s="362" t="str">
        <f>CONCATENATE(B165," ",TEXT(D12,0)," ",B166," - ",L5)</f>
        <v>Materiały na 1000 m2 powierzchni docieplenia - Ceny [PLN] netto</v>
      </c>
      <c r="B52" s="363"/>
      <c r="C52" s="363"/>
      <c r="D52" s="363"/>
      <c r="E52" s="363"/>
      <c r="F52" s="33" t="str">
        <f>G16</f>
        <v>Jedn.</v>
      </c>
      <c r="G52" s="33" t="str">
        <f>B168</f>
        <v>Ilość</v>
      </c>
      <c r="H52" s="33" t="str">
        <f>B169</f>
        <v>Cena</v>
      </c>
      <c r="I52" s="33" t="str">
        <f>B170</f>
        <v>Wartość</v>
      </c>
    </row>
    <row r="53" spans="1:12" s="66" customFormat="1">
      <c r="A53" s="395" t="str">
        <f>A18</f>
        <v>Klej do przyklejania płyt</v>
      </c>
      <c r="B53" s="396"/>
      <c r="C53" s="361" t="str">
        <f>C18</f>
        <v>AK 533 - Klej do ociepleń na wełnie mineralnej</v>
      </c>
      <c r="D53" s="338"/>
      <c r="E53" s="339"/>
      <c r="F53" s="19" t="s">
        <v>31</v>
      </c>
      <c r="G53" s="76">
        <f>CEILING(F18*D$12,25)/25</f>
        <v>200</v>
      </c>
      <c r="H53" s="26">
        <f>CEILING(H18*(1-$F$33/100)*25-0.005,0.01)</f>
        <v>35</v>
      </c>
      <c r="I53" s="27">
        <f t="shared" ref="I53:I61" si="1">G53*H53</f>
        <v>7000</v>
      </c>
    </row>
    <row r="54" spans="1:12" s="66" customFormat="1">
      <c r="A54" s="395" t="str">
        <f>A19</f>
        <v>Siatka zbrojąca</v>
      </c>
      <c r="B54" s="396"/>
      <c r="C54" s="361" t="str">
        <f>C19</f>
        <v>ALPOL 145 - siatka z włókna szklanego</v>
      </c>
      <c r="D54" s="338"/>
      <c r="E54" s="339"/>
      <c r="F54" s="215" t="str">
        <f>CONCATENATE(L54," m2")</f>
        <v>50 m2</v>
      </c>
      <c r="G54" s="76">
        <f>CEILING(F19*D$12,L54)/L54</f>
        <v>22</v>
      </c>
      <c r="H54" s="26">
        <f>CEILING(H19*(1-$F$33/100)*L54-0.005,0.01)</f>
        <v>175</v>
      </c>
      <c r="I54" s="20">
        <f t="shared" si="1"/>
        <v>3850</v>
      </c>
      <c r="L54" s="214">
        <f>VLOOKUP(C54,produkty,3,0)</f>
        <v>50</v>
      </c>
    </row>
    <row r="55" spans="1:12" s="66" customFormat="1">
      <c r="A55" s="395" t="str">
        <f>A20</f>
        <v>Klej do zatapiania siatki</v>
      </c>
      <c r="B55" s="396"/>
      <c r="C55" s="361" t="str">
        <f>C20</f>
        <v>AK 533 - Klej do ociepleń na wełnie mineralnej</v>
      </c>
      <c r="D55" s="338"/>
      <c r="E55" s="339"/>
      <c r="F55" s="19" t="s">
        <v>31</v>
      </c>
      <c r="G55" s="76">
        <f>CEILING(F20*D$12,25)/25</f>
        <v>220</v>
      </c>
      <c r="H55" s="26">
        <f>CEILING(H20*(1-$F$33/100)*25-0.005,0.01)</f>
        <v>35</v>
      </c>
      <c r="I55" s="20">
        <f t="shared" si="1"/>
        <v>7700</v>
      </c>
    </row>
    <row r="56" spans="1:12" s="66" customFormat="1">
      <c r="A56" s="395" t="str">
        <f>A22</f>
        <v>Tynk dekoracyjny</v>
      </c>
      <c r="B56" s="396"/>
      <c r="C56" s="361" t="str">
        <f>C22</f>
        <v>AT 371 - Tynk silikatowo-silikonowy baranek 1,5 mm</v>
      </c>
      <c r="D56" s="338"/>
      <c r="E56" s="339"/>
      <c r="F56" s="19" t="s">
        <v>31</v>
      </c>
      <c r="G56" s="76">
        <f>CEILING(F22*D$12,25)/25</f>
        <v>92</v>
      </c>
      <c r="H56" s="26">
        <f>IF((H22+H23)&lt;0.005,0,CEILING((H22+H23)*(1-$F$33/100)*25-0.005,0.01))</f>
        <v>182.75</v>
      </c>
      <c r="I56" s="20">
        <f t="shared" si="1"/>
        <v>16813</v>
      </c>
    </row>
    <row r="57" spans="1:12" s="66" customFormat="1">
      <c r="A57" s="395" t="str">
        <f>A24</f>
        <v>Grunt podtynkowy</v>
      </c>
      <c r="B57" s="396"/>
      <c r="C57" s="337" t="str">
        <f>C24</f>
        <v>AG 706 - Grunt pod tynki krzemianowe</v>
      </c>
      <c r="D57" s="338"/>
      <c r="E57" s="339"/>
      <c r="F57" s="19" t="str">
        <f>CONCATENATE(L57," kg")</f>
        <v>13 kg</v>
      </c>
      <c r="G57" s="76">
        <f>CEILING(F24*D$12,L57)/L57</f>
        <v>20</v>
      </c>
      <c r="H57" s="26">
        <f>IF((H24+H25)&gt;0.005,CEILING((H24+H25)*(1-$F$33/100)*L57-0.005,0.01),0)</f>
        <v>87.23</v>
      </c>
      <c r="I57" s="20">
        <f t="shared" si="1"/>
        <v>1744.6000000000001</v>
      </c>
      <c r="L57" s="87">
        <f>IF($C24&lt;&gt;0,VLOOKUP($C24,produkty,3,0),1)</f>
        <v>13</v>
      </c>
    </row>
    <row r="58" spans="1:12" s="66" customFormat="1">
      <c r="A58" s="397" t="str">
        <f>A26</f>
        <v>Farba elewacyjna</v>
      </c>
      <c r="B58" s="398"/>
      <c r="C58" s="343" t="str">
        <f>C26</f>
        <v>AF 660 - Farba elewacyjna silikatowa x 2</v>
      </c>
      <c r="D58" s="344"/>
      <c r="E58" s="345"/>
      <c r="F58" s="75" t="s">
        <v>32</v>
      </c>
      <c r="G58" s="76">
        <f>CEILING(F26*D$12,10)/10</f>
        <v>0</v>
      </c>
      <c r="H58" s="78">
        <f>IF(L58&gt;0,CEILING(L58,0.01),0)</f>
        <v>0</v>
      </c>
      <c r="I58" s="74">
        <f t="shared" si="1"/>
        <v>0</v>
      </c>
      <c r="L58" s="87">
        <f>(H26+H27)*(1-$F$33/100)*10-0.005</f>
        <v>-5.0000000000000001E-3</v>
      </c>
    </row>
    <row r="59" spans="1:12" s="66" customFormat="1">
      <c r="A59" s="346" t="str">
        <f>A40</f>
        <v>Izolacja termiczna</v>
      </c>
      <c r="B59" s="347"/>
      <c r="C59" s="400" t="str">
        <f>C40</f>
        <v>wełna fasadowa Frontrock MAX E grubości 20 cm</v>
      </c>
      <c r="D59" s="401"/>
      <c r="E59" s="401"/>
      <c r="F59" s="29" t="str">
        <f>IF(L59&lt;10000,"1 m2","1 m3")</f>
        <v>1 m2</v>
      </c>
      <c r="G59" s="77">
        <f>IF(L59&lt;10000,L59,CEILING(L59*D14/100,1))</f>
        <v>1000</v>
      </c>
      <c r="H59" s="21">
        <f>IF(L59&lt;10000,H40,IF(D14&gt;0,H40/D14*100,0))</f>
        <v>59.02</v>
      </c>
      <c r="I59" s="27">
        <f t="shared" si="1"/>
        <v>59020</v>
      </c>
      <c r="L59" s="87">
        <f>CEILING(F40*$D$12,1)</f>
        <v>1000</v>
      </c>
    </row>
    <row r="60" spans="1:12" s="66" customFormat="1">
      <c r="A60" s="346" t="str">
        <f>A41</f>
        <v>Łączniki mechaniczne</v>
      </c>
      <c r="B60" s="347"/>
      <c r="C60" s="399" t="str">
        <f>C41</f>
        <v>Łącznik z trzpieniem stalowym wbijanym dł. min. 29 cm</v>
      </c>
      <c r="D60" s="338"/>
      <c r="E60" s="339"/>
      <c r="F60" s="18" t="str">
        <f>IF(L60&lt;10000,"1 szt.","tys.szt.")</f>
        <v>1 szt.</v>
      </c>
      <c r="G60" s="77">
        <f>IF(L60&lt;10000,L60,CEILING(L60/1000,1))</f>
        <v>6000</v>
      </c>
      <c r="H60" s="22">
        <f>IF(L60&lt;10000,H41,H41*1000)</f>
        <v>0</v>
      </c>
      <c r="I60" s="20">
        <f t="shared" si="1"/>
        <v>0</v>
      </c>
      <c r="L60" s="87">
        <f>F41*$D$12</f>
        <v>6000</v>
      </c>
    </row>
    <row r="61" spans="1:12" s="66" customFormat="1">
      <c r="A61" s="346" t="str">
        <f>A42</f>
        <v>Kołnierze dociskowe</v>
      </c>
      <c r="B61" s="347"/>
      <c r="C61" s="399" t="str">
        <f>C42</f>
        <v/>
      </c>
      <c r="D61" s="338"/>
      <c r="E61" s="339"/>
      <c r="F61" s="18" t="str">
        <f>IF(L61&lt;10000,"1 szt.","tys.szt.")</f>
        <v>1 szt.</v>
      </c>
      <c r="G61" s="77">
        <f>IF(L61&lt;10000,L61,CEILING(L61/1000,1))</f>
        <v>0</v>
      </c>
      <c r="H61" s="22">
        <f>IF(L61&lt;10000,H42,H42*1000)</f>
        <v>0</v>
      </c>
      <c r="I61" s="20">
        <f t="shared" si="1"/>
        <v>0</v>
      </c>
      <c r="L61" s="87">
        <f>F42*$D$12</f>
        <v>0</v>
      </c>
    </row>
    <row r="62" spans="1:12" s="66" customFormat="1">
      <c r="A62" s="380" t="str">
        <f>A43</f>
        <v>Materiały uzupełniające</v>
      </c>
      <c r="B62" s="381"/>
      <c r="C62" s="190" t="str">
        <f>CONCATENATE(B171," ",$D$12," ",B172)</f>
        <v>wartość szacunkowa na 1000 m2 pow. ocieplenia</v>
      </c>
      <c r="D62" s="73"/>
      <c r="E62" s="73"/>
      <c r="F62" s="340"/>
      <c r="G62" s="341"/>
      <c r="H62" s="342"/>
      <c r="I62" s="28">
        <f>I43*$D$12</f>
        <v>0</v>
      </c>
    </row>
    <row r="63" spans="1:12" ht="17.100000000000001" customHeight="1">
      <c r="A63" s="392" t="str">
        <f>IF(AND(I4=0,I5=0),CONCATENATE(B67," ",B68,"  ",B69," ",Ceny!B1),CONCATENATE("DYSTRYBUCJA:  ",C4,"  ",C5))</f>
        <v>Kalkulator systemu ociepleń - wer. 2011.06  Cennik: PL 01.04.2011</v>
      </c>
      <c r="B63" s="393"/>
      <c r="C63" s="393"/>
      <c r="D63" s="393"/>
      <c r="E63" s="394"/>
      <c r="F63" s="369" t="str">
        <f>E31</f>
        <v>RAZEM:</v>
      </c>
      <c r="G63" s="370"/>
      <c r="H63" s="176" t="str">
        <f>M2</f>
        <v>[PLN]</v>
      </c>
      <c r="I63" s="177">
        <f>SUM(I53:I62)</f>
        <v>96127.6</v>
      </c>
      <c r="L63" s="116"/>
    </row>
    <row r="66" spans="1:6" hidden="1">
      <c r="A66" s="138">
        <v>1</v>
      </c>
      <c r="B66" s="138" t="str">
        <f t="shared" ref="B66:B97" si="2">VLOOKUP(A66,opisy,$M$1+1,0)</f>
        <v>Polski</v>
      </c>
      <c r="C66" s="116"/>
      <c r="D66" s="116"/>
      <c r="E66" s="116"/>
      <c r="F66" s="116"/>
    </row>
    <row r="67" spans="1:6" hidden="1">
      <c r="A67" s="138">
        <v>2</v>
      </c>
      <c r="B67" s="138" t="str">
        <f t="shared" si="2"/>
        <v>Kalkulator systemu ociepleń</v>
      </c>
      <c r="C67" s="116"/>
      <c r="D67" s="116"/>
      <c r="E67" s="116"/>
      <c r="F67" s="116"/>
    </row>
    <row r="68" spans="1:6" hidden="1">
      <c r="A68" s="138">
        <v>3</v>
      </c>
      <c r="B68" s="138" t="str">
        <f t="shared" si="2"/>
        <v>- wer. 2011.06</v>
      </c>
      <c r="C68" s="116"/>
      <c r="D68" s="116"/>
      <c r="E68" s="116"/>
      <c r="F68" s="116"/>
    </row>
    <row r="69" spans="1:6" hidden="1">
      <c r="A69" s="138">
        <v>4</v>
      </c>
      <c r="B69" s="138" t="str">
        <f t="shared" si="2"/>
        <v>Cennik:</v>
      </c>
      <c r="C69" s="116"/>
      <c r="D69" s="116"/>
      <c r="E69" s="116"/>
      <c r="F69" s="116"/>
    </row>
    <row r="70" spans="1:6" hidden="1">
      <c r="A70" s="138">
        <v>5</v>
      </c>
      <c r="B70" s="138" t="str">
        <f t="shared" si="2"/>
        <v>Kalkulacja wg. cen:</v>
      </c>
      <c r="C70" s="116"/>
      <c r="D70" s="116"/>
      <c r="E70" s="116"/>
      <c r="F70" s="116"/>
    </row>
    <row r="71" spans="1:6" hidden="1">
      <c r="A71" s="138">
        <v>6</v>
      </c>
      <c r="B71" s="138" t="str">
        <f t="shared" si="2"/>
        <v>Kurs PLN / EUR:</v>
      </c>
      <c r="C71" s="116"/>
      <c r="D71" s="116"/>
      <c r="E71" s="116"/>
      <c r="F71" s="116"/>
    </row>
    <row r="72" spans="1:6" hidden="1">
      <c r="A72" s="138">
        <v>7</v>
      </c>
      <c r="B72" s="138" t="str">
        <f t="shared" si="2"/>
        <v>netto</v>
      </c>
      <c r="C72" s="116"/>
      <c r="D72" s="116"/>
      <c r="E72" s="116"/>
      <c r="F72" s="116"/>
    </row>
    <row r="73" spans="1:6" hidden="1">
      <c r="A73" s="138">
        <v>8</v>
      </c>
      <c r="B73" s="138" t="str">
        <f t="shared" si="2"/>
        <v>brutto</v>
      </c>
      <c r="C73" s="116"/>
      <c r="D73" s="116"/>
      <c r="E73" s="116"/>
      <c r="F73" s="116"/>
    </row>
    <row r="74" spans="1:6" hidden="1">
      <c r="A74" s="138">
        <v>9</v>
      </c>
      <c r="B74" s="138" t="str">
        <f t="shared" si="2"/>
        <v>VAT (PL):</v>
      </c>
      <c r="C74" s="116"/>
      <c r="D74" s="116"/>
      <c r="E74" s="116"/>
      <c r="F74" s="116"/>
    </row>
    <row r="75" spans="1:6" hidden="1">
      <c r="A75" s="138">
        <v>10</v>
      </c>
      <c r="B75" s="138" t="str">
        <f t="shared" si="2"/>
        <v>Ceny</v>
      </c>
      <c r="C75" s="116"/>
      <c r="D75" s="116"/>
      <c r="E75" s="116"/>
      <c r="F75" s="116"/>
    </row>
    <row r="76" spans="1:6" hidden="1">
      <c r="A76" s="138">
        <v>11</v>
      </c>
      <c r="B76" s="138" t="str">
        <f t="shared" si="2"/>
        <v>Dystrybutor:</v>
      </c>
      <c r="C76" s="116"/>
      <c r="D76" s="116"/>
      <c r="E76" s="116"/>
      <c r="F76" s="116"/>
    </row>
    <row r="77" spans="1:6" hidden="1">
      <c r="A77" s="138">
        <v>12</v>
      </c>
      <c r="B77" s="138" t="str">
        <f t="shared" si="2"/>
        <v>Nazwa dystrybutora Alpol</v>
      </c>
      <c r="C77" s="116"/>
      <c r="D77" s="116"/>
      <c r="E77" s="116"/>
      <c r="F77" s="116"/>
    </row>
    <row r="78" spans="1:6" hidden="1">
      <c r="A78" s="138">
        <v>13</v>
      </c>
      <c r="B78" s="138" t="str">
        <f t="shared" si="2"/>
        <v>Adres dystrybutora, telefon, kontakt</v>
      </c>
      <c r="C78" s="116"/>
      <c r="D78" s="116"/>
      <c r="E78" s="116"/>
      <c r="F78" s="116"/>
    </row>
    <row r="79" spans="1:6" hidden="1">
      <c r="A79" s="138">
        <v>14</v>
      </c>
      <c r="B79" s="138" t="str">
        <f t="shared" si="2"/>
        <v>Rabat dustrybutora [%]:</v>
      </c>
      <c r="C79" s="116"/>
      <c r="D79" s="116"/>
      <c r="E79" s="116"/>
      <c r="F79" s="116"/>
    </row>
    <row r="80" spans="1:6" hidden="1">
      <c r="A80" s="138">
        <v>15</v>
      </c>
      <c r="B80" s="138" t="str">
        <f t="shared" si="2"/>
        <v>Narzut dystrybutora [%]:</v>
      </c>
      <c r="C80" s="116"/>
      <c r="D80" s="116"/>
      <c r="E80" s="116"/>
      <c r="F80" s="116"/>
    </row>
    <row r="81" spans="1:6" hidden="1">
      <c r="A81" s="138">
        <v>16</v>
      </c>
      <c r="B81" s="138" t="str">
        <f t="shared" si="2"/>
        <v>Kalkulacja dla:</v>
      </c>
      <c r="C81" s="116"/>
      <c r="D81" s="116"/>
      <c r="E81" s="116"/>
      <c r="F81" s="116"/>
    </row>
    <row r="82" spans="1:6" hidden="1">
      <c r="A82" s="138">
        <v>17</v>
      </c>
      <c r="B82" s="138" t="str">
        <f t="shared" si="2"/>
        <v>Nazwa odbiorcy kalkulacji</v>
      </c>
      <c r="C82" s="116"/>
      <c r="D82" s="116"/>
      <c r="E82" s="116"/>
      <c r="F82" s="116"/>
    </row>
    <row r="83" spans="1:6" hidden="1">
      <c r="A83" s="138">
        <v>18</v>
      </c>
      <c r="B83" s="138" t="str">
        <f t="shared" si="2"/>
        <v>Projekt:</v>
      </c>
      <c r="C83" s="116"/>
      <c r="D83" s="116"/>
      <c r="E83" s="116"/>
      <c r="F83" s="116"/>
    </row>
    <row r="84" spans="1:6" hidden="1">
      <c r="A84" s="138">
        <v>19</v>
      </c>
      <c r="B84" s="138" t="str">
        <f t="shared" si="2"/>
        <v xml:space="preserve">Nazwa inwestycji, Ulica, Miejscowość </v>
      </c>
      <c r="C84" s="116"/>
      <c r="D84" s="116"/>
      <c r="E84" s="116"/>
      <c r="F84" s="116"/>
    </row>
    <row r="85" spans="1:6" hidden="1">
      <c r="A85" s="138">
        <v>20</v>
      </c>
      <c r="B85" s="138" t="str">
        <f t="shared" si="2"/>
        <v>data sporządzenia</v>
      </c>
      <c r="C85" s="116"/>
      <c r="D85" s="116"/>
      <c r="E85" s="116"/>
      <c r="F85" s="116"/>
    </row>
    <row r="86" spans="1:6" hidden="1">
      <c r="A86" s="138">
        <v>21</v>
      </c>
      <c r="B86" s="138" t="str">
        <f t="shared" si="2"/>
        <v>SYSTEM DOCIEPLANIA ŚCIAN</v>
      </c>
      <c r="C86" s="116"/>
      <c r="D86" s="116"/>
      <c r="E86" s="116"/>
      <c r="F86" s="116"/>
    </row>
    <row r="87" spans="1:6" hidden="1">
      <c r="A87" s="138">
        <v>22</v>
      </c>
      <c r="B87" s="138" t="str">
        <f t="shared" si="2"/>
        <v>docieplenie ścian zewnętrznych</v>
      </c>
      <c r="C87" s="116"/>
      <c r="D87" s="116"/>
      <c r="E87" s="116"/>
      <c r="F87" s="116"/>
    </row>
    <row r="88" spans="1:6" hidden="1">
      <c r="A88" s="138">
        <v>23</v>
      </c>
      <c r="B88" s="138" t="str">
        <f t="shared" si="2"/>
        <v>docieplenie stropów i ścian garażowych</v>
      </c>
      <c r="C88" s="116"/>
      <c r="D88" s="116"/>
      <c r="E88" s="116"/>
      <c r="F88" s="116"/>
    </row>
    <row r="89" spans="1:6" hidden="1">
      <c r="A89" s="138">
        <v>24</v>
      </c>
      <c r="B89" s="138" t="str">
        <f t="shared" si="2"/>
        <v>z zastosowaniem wełny mineralnej</v>
      </c>
      <c r="C89" s="116"/>
      <c r="D89" s="116"/>
      <c r="E89" s="116"/>
      <c r="F89" s="116"/>
    </row>
    <row r="90" spans="1:6" hidden="1">
      <c r="A90" s="138">
        <v>25</v>
      </c>
      <c r="B90" s="138" t="str">
        <f t="shared" si="2"/>
        <v>Powierzchnia ocieplenia [m2]:</v>
      </c>
      <c r="C90" s="116"/>
      <c r="D90" s="116"/>
      <c r="E90" s="116"/>
      <c r="F90" s="116"/>
    </row>
    <row r="91" spans="1:6" hidden="1">
      <c r="A91" s="138">
        <v>26</v>
      </c>
      <c r="B91" s="138" t="str">
        <f t="shared" si="2"/>
        <v>Grubość materiału izolacji [cm]:</v>
      </c>
      <c r="C91" s="116"/>
      <c r="D91" s="116"/>
      <c r="E91" s="116"/>
      <c r="F91" s="116"/>
    </row>
    <row r="92" spans="1:6" hidden="1">
      <c r="A92" s="138">
        <v>27</v>
      </c>
      <c r="B92" s="138" t="str">
        <f t="shared" si="2"/>
        <v>Rodzaj i parametry przegrody:</v>
      </c>
      <c r="C92" s="116"/>
      <c r="D92" s="116"/>
      <c r="E92" s="116"/>
      <c r="F92" s="116"/>
    </row>
    <row r="93" spans="1:6" hidden="1">
      <c r="A93" s="138">
        <v>28</v>
      </c>
      <c r="B93" s="138" t="str">
        <f t="shared" si="2"/>
        <v>ściana nieotynkowana - do 8 m.</v>
      </c>
      <c r="C93" s="116"/>
      <c r="D93" s="116"/>
      <c r="E93" s="116"/>
      <c r="F93" s="116"/>
    </row>
    <row r="94" spans="1:6" hidden="1">
      <c r="A94" s="138">
        <v>29</v>
      </c>
      <c r="B94" s="138" t="str">
        <f t="shared" si="2"/>
        <v>ściana nieotynkowana - od 8 do 20 m.</v>
      </c>
      <c r="C94" s="116"/>
      <c r="D94" s="116"/>
      <c r="E94" s="116"/>
      <c r="F94" s="116"/>
    </row>
    <row r="95" spans="1:6" hidden="1">
      <c r="A95" s="138">
        <v>30</v>
      </c>
      <c r="B95" s="138" t="str">
        <f t="shared" si="2"/>
        <v>ściana nieotynkowana - od 20 do 25 m.</v>
      </c>
      <c r="C95" s="116"/>
      <c r="D95" s="116"/>
      <c r="E95" s="116"/>
      <c r="F95" s="116"/>
    </row>
    <row r="96" spans="1:6" hidden="1">
      <c r="A96" s="138">
        <v>31</v>
      </c>
      <c r="B96" s="138" t="str">
        <f t="shared" si="2"/>
        <v>ściana nieotynkowana - powyżej 25 m.</v>
      </c>
      <c r="C96" s="116"/>
      <c r="D96" s="116"/>
      <c r="E96" s="116"/>
      <c r="F96" s="116"/>
    </row>
    <row r="97" spans="1:6" hidden="1">
      <c r="A97" s="138">
        <v>32</v>
      </c>
      <c r="B97" s="138" t="str">
        <f t="shared" si="2"/>
        <v>ściana otynkowana - do 8 m.</v>
      </c>
      <c r="C97" s="116"/>
      <c r="D97" s="116"/>
      <c r="E97" s="116"/>
      <c r="F97" s="116"/>
    </row>
    <row r="98" spans="1:6" hidden="1">
      <c r="A98" s="138">
        <v>33</v>
      </c>
      <c r="B98" s="138" t="str">
        <f t="shared" ref="B98:B129" si="3">VLOOKUP(A98,opisy,$M$1+1,0)</f>
        <v>ściana otynkowana - od 8 do 20 m.</v>
      </c>
      <c r="C98" s="116"/>
      <c r="D98" s="116"/>
      <c r="E98" s="116"/>
      <c r="F98" s="116"/>
    </row>
    <row r="99" spans="1:6" hidden="1">
      <c r="A99" s="138">
        <v>34</v>
      </c>
      <c r="B99" s="138" t="str">
        <f t="shared" si="3"/>
        <v>ściana otynkowana - od 20 do 25 m.</v>
      </c>
      <c r="C99" s="116"/>
      <c r="D99" s="116"/>
      <c r="E99" s="116"/>
      <c r="F99" s="116"/>
    </row>
    <row r="100" spans="1:6" hidden="1">
      <c r="A100" s="138">
        <v>35</v>
      </c>
      <c r="B100" s="138" t="str">
        <f t="shared" si="3"/>
        <v>ściana otynkowana - powyżej 25 m.</v>
      </c>
      <c r="C100" s="116"/>
      <c r="D100" s="116"/>
      <c r="E100" s="116"/>
      <c r="F100" s="116"/>
    </row>
    <row r="101" spans="1:6" hidden="1">
      <c r="A101" s="138">
        <v>36</v>
      </c>
      <c r="B101" s="138" t="str">
        <f t="shared" si="3"/>
        <v>strop garażowy nieotynkowany</v>
      </c>
      <c r="C101" s="116"/>
      <c r="D101" s="116"/>
      <c r="E101" s="116"/>
      <c r="F101" s="116"/>
    </row>
    <row r="102" spans="1:6" hidden="1">
      <c r="A102" s="138">
        <v>37</v>
      </c>
      <c r="B102" s="138" t="str">
        <f t="shared" si="3"/>
        <v>strop garażowy otynkowany</v>
      </c>
      <c r="C102" s="116"/>
      <c r="D102" s="116"/>
      <c r="E102" s="116"/>
      <c r="F102" s="116"/>
    </row>
    <row r="103" spans="1:6" hidden="1">
      <c r="A103" s="138">
        <v>38</v>
      </c>
      <c r="B103" s="138" t="str">
        <f t="shared" si="3"/>
        <v>Materiał konstrukcyjny ściany:</v>
      </c>
      <c r="C103" s="116"/>
      <c r="D103" s="116"/>
      <c r="E103" s="116"/>
      <c r="F103" s="116"/>
    </row>
    <row r="104" spans="1:6" hidden="1">
      <c r="A104" s="138">
        <v>39</v>
      </c>
      <c r="B104" s="138" t="str">
        <f t="shared" si="3"/>
        <v>Materiał konstrukcyjny stropu:</v>
      </c>
      <c r="C104" s="116"/>
      <c r="D104" s="116"/>
      <c r="E104" s="116"/>
      <c r="F104" s="116"/>
    </row>
    <row r="105" spans="1:6" hidden="1">
      <c r="A105" s="138">
        <v>40</v>
      </c>
      <c r="B105" s="138" t="str">
        <f t="shared" si="3"/>
        <v>beton, bloczki, cegła pełna</v>
      </c>
      <c r="C105" s="116"/>
      <c r="D105" s="116"/>
      <c r="E105" s="116"/>
      <c r="F105" s="116"/>
    </row>
    <row r="106" spans="1:6" hidden="1">
      <c r="A106" s="138">
        <v>41</v>
      </c>
      <c r="B106" s="138" t="str">
        <f t="shared" si="3"/>
        <v>pustaki, cegła szczelinowa</v>
      </c>
      <c r="C106" s="116"/>
      <c r="D106" s="116"/>
      <c r="E106" s="116"/>
      <c r="F106" s="116"/>
    </row>
    <row r="107" spans="1:6" hidden="1">
      <c r="A107" s="138">
        <v>42</v>
      </c>
      <c r="B107" s="138" t="str">
        <f t="shared" si="3"/>
        <v>pustak z ceramiki poryzowanej</v>
      </c>
      <c r="C107" s="116"/>
      <c r="D107" s="116"/>
      <c r="E107" s="116"/>
      <c r="F107" s="116"/>
    </row>
    <row r="108" spans="1:6" hidden="1">
      <c r="A108" s="138">
        <v>43</v>
      </c>
      <c r="B108" s="138" t="str">
        <f t="shared" si="3"/>
        <v>bloczki z betonu komórkowego</v>
      </c>
      <c r="C108" s="116"/>
      <c r="D108" s="116"/>
      <c r="E108" s="116"/>
      <c r="F108" s="116"/>
    </row>
    <row r="109" spans="1:6" hidden="1">
      <c r="A109" s="138">
        <v>44</v>
      </c>
      <c r="B109" s="138" t="str">
        <f t="shared" si="3"/>
        <v>Rodzaj materiału izolacji:</v>
      </c>
      <c r="C109" s="116"/>
      <c r="D109" s="116"/>
      <c r="E109" s="116"/>
      <c r="F109" s="116"/>
    </row>
    <row r="110" spans="1:6" hidden="1">
      <c r="A110" s="138">
        <v>45</v>
      </c>
      <c r="B110" s="138" t="str">
        <f t="shared" si="3"/>
        <v>wełna mineralna - lamelowa</v>
      </c>
      <c r="C110" s="116"/>
      <c r="D110" s="116"/>
      <c r="E110" s="116"/>
      <c r="F110" s="116"/>
    </row>
    <row r="111" spans="1:6" hidden="1">
      <c r="A111" s="138">
        <v>46</v>
      </c>
      <c r="B111" s="138" t="str">
        <f t="shared" si="3"/>
        <v>wełna mineralna - fasadowa</v>
      </c>
      <c r="C111" s="116"/>
      <c r="D111" s="116"/>
      <c r="E111" s="116"/>
      <c r="F111" s="116"/>
    </row>
    <row r="112" spans="1:6" hidden="1">
      <c r="A112" s="138">
        <v>47</v>
      </c>
      <c r="B112" s="138" t="str">
        <f t="shared" si="3"/>
        <v>wełna lamelowa Fasrock L</v>
      </c>
      <c r="C112" s="116"/>
      <c r="D112" s="116"/>
      <c r="E112" s="116"/>
      <c r="F112" s="116"/>
    </row>
    <row r="113" spans="1:6" hidden="1">
      <c r="A113" s="138">
        <v>48</v>
      </c>
      <c r="B113" s="138" t="str">
        <f t="shared" si="3"/>
        <v>wełna lamelowa Fasrock LL</v>
      </c>
      <c r="C113" s="116"/>
      <c r="D113" s="116"/>
      <c r="E113" s="116"/>
      <c r="F113" s="116"/>
    </row>
    <row r="114" spans="1:6" hidden="1">
      <c r="A114" s="138">
        <v>49</v>
      </c>
      <c r="B114" s="138" t="str">
        <f t="shared" si="3"/>
        <v>wełna fasadowa Frontrock MAX E</v>
      </c>
      <c r="C114" s="116"/>
      <c r="D114" s="116"/>
      <c r="E114" s="116"/>
      <c r="F114" s="116"/>
    </row>
    <row r="115" spans="1:6" hidden="1">
      <c r="A115" s="138">
        <v>50</v>
      </c>
      <c r="B115" s="138" t="str">
        <f t="shared" si="3"/>
        <v>wełna fasadowa Fasrock MAX</v>
      </c>
      <c r="C115" s="116"/>
      <c r="D115" s="116"/>
      <c r="E115" s="116"/>
      <c r="F115" s="116"/>
    </row>
    <row r="116" spans="1:6" hidden="1">
      <c r="A116" s="138">
        <v>51</v>
      </c>
      <c r="B116" s="138" t="str">
        <f t="shared" si="3"/>
        <v>wełna fasadowa Fasrock</v>
      </c>
      <c r="C116" s="116"/>
      <c r="D116" s="116"/>
      <c r="E116" s="116"/>
      <c r="F116" s="116"/>
    </row>
    <row r="117" spans="1:6" hidden="1">
      <c r="A117" s="138">
        <v>52</v>
      </c>
      <c r="B117" s="138" t="str">
        <f t="shared" si="3"/>
        <v>Zużycie</v>
      </c>
      <c r="C117" s="116"/>
      <c r="D117" s="116"/>
      <c r="E117" s="116"/>
      <c r="F117" s="116"/>
    </row>
    <row r="118" spans="1:6" hidden="1">
      <c r="A118" s="138">
        <v>53</v>
      </c>
      <c r="B118" s="138" t="str">
        <f t="shared" si="3"/>
        <v>na</v>
      </c>
      <c r="C118" s="116"/>
      <c r="D118" s="116"/>
      <c r="E118" s="116"/>
      <c r="F118" s="116"/>
    </row>
    <row r="119" spans="1:6" hidden="1">
      <c r="A119" s="138">
        <v>54</v>
      </c>
      <c r="B119" s="138" t="str">
        <f t="shared" si="3"/>
        <v>1m2</v>
      </c>
      <c r="C119" s="116"/>
      <c r="D119" s="116"/>
      <c r="E119" s="116"/>
      <c r="F119" s="116"/>
    </row>
    <row r="120" spans="1:6" hidden="1">
      <c r="A120" s="138">
        <v>55</v>
      </c>
      <c r="B120" s="138" t="str">
        <f t="shared" si="3"/>
        <v>Jedn.</v>
      </c>
      <c r="C120" s="116"/>
      <c r="D120" s="116"/>
      <c r="E120" s="116"/>
      <c r="F120" s="116"/>
    </row>
    <row r="121" spans="1:6" hidden="1">
      <c r="A121" s="138">
        <v>56</v>
      </c>
      <c r="B121" s="138" t="str">
        <f t="shared" si="3"/>
        <v>Cena</v>
      </c>
      <c r="C121" s="116"/>
      <c r="D121" s="116"/>
      <c r="E121" s="116"/>
      <c r="F121" s="116"/>
    </row>
    <row r="122" spans="1:6" hidden="1">
      <c r="A122" s="138">
        <v>57</v>
      </c>
      <c r="B122" s="138" t="str">
        <f t="shared" si="3"/>
        <v>Rabaty</v>
      </c>
      <c r="C122" s="116"/>
      <c r="D122" s="116"/>
      <c r="E122" s="116"/>
      <c r="F122" s="116"/>
    </row>
    <row r="123" spans="1:6" hidden="1">
      <c r="A123" s="138">
        <v>58</v>
      </c>
      <c r="B123" s="138" t="str">
        <f t="shared" si="3"/>
        <v>od pozycji</v>
      </c>
      <c r="C123" s="116"/>
      <c r="D123" s="116"/>
      <c r="E123" s="116"/>
      <c r="F123" s="116"/>
    </row>
    <row r="124" spans="1:6" hidden="1">
      <c r="A124" s="138">
        <v>59</v>
      </c>
      <c r="B124" s="138" t="str">
        <f t="shared" si="3"/>
        <v>Materiały warstwy izolacyjno- zbrojeniowej</v>
      </c>
      <c r="C124" s="116"/>
      <c r="D124" s="116"/>
      <c r="E124" s="116"/>
      <c r="F124" s="116"/>
    </row>
    <row r="125" spans="1:6" hidden="1">
      <c r="A125" s="138">
        <v>60</v>
      </c>
      <c r="B125" s="138" t="str">
        <f t="shared" si="3"/>
        <v>Klej do przyklejania płyt</v>
      </c>
      <c r="C125" s="116"/>
      <c r="D125" s="116"/>
      <c r="E125" s="116"/>
      <c r="F125" s="116"/>
    </row>
    <row r="126" spans="1:6" hidden="1">
      <c r="A126" s="138">
        <v>61</v>
      </c>
      <c r="B126" s="138" t="str">
        <f t="shared" si="3"/>
        <v>Siatka zbrojąca</v>
      </c>
      <c r="C126" s="116"/>
      <c r="D126" s="116"/>
      <c r="E126" s="116"/>
      <c r="F126" s="116"/>
    </row>
    <row r="127" spans="1:6" hidden="1">
      <c r="A127" s="138">
        <v>62</v>
      </c>
      <c r="B127" s="138" t="str">
        <f t="shared" si="3"/>
        <v>Klej do zatapiania siatki</v>
      </c>
      <c r="C127" s="116"/>
      <c r="D127" s="116"/>
      <c r="E127" s="116"/>
      <c r="F127" s="116"/>
    </row>
    <row r="128" spans="1:6" hidden="1">
      <c r="A128" s="138">
        <v>63</v>
      </c>
      <c r="B128" s="138" t="str">
        <f t="shared" si="3"/>
        <v>Materiały wyprawy elewacyjnej</v>
      </c>
      <c r="C128" s="116"/>
      <c r="D128" s="116"/>
      <c r="E128" s="116"/>
      <c r="F128" s="116"/>
    </row>
    <row r="129" spans="1:6" hidden="1">
      <c r="A129" s="138">
        <v>64</v>
      </c>
      <c r="B129" s="138" t="str">
        <f t="shared" si="3"/>
        <v>Tynk dekoracyjny</v>
      </c>
      <c r="C129" s="116"/>
      <c r="D129" s="116"/>
      <c r="E129" s="116"/>
      <c r="F129" s="116"/>
    </row>
    <row r="130" spans="1:6" hidden="1">
      <c r="A130" s="138">
        <v>65</v>
      </c>
      <c r="B130" s="138" t="str">
        <f t="shared" ref="B130:B161" si="4">VLOOKUP(A130,opisy,$M$1+1,0)</f>
        <v>Dopłata do koloru tynku</v>
      </c>
      <c r="C130" s="116"/>
      <c r="D130" s="116"/>
      <c r="E130" s="116"/>
      <c r="F130" s="116"/>
    </row>
    <row r="131" spans="1:6" hidden="1">
      <c r="A131" s="138">
        <v>66</v>
      </c>
      <c r="B131" s="138" t="str">
        <f t="shared" si="4"/>
        <v>Grunt podtynkowy</v>
      </c>
      <c r="C131" s="116"/>
      <c r="D131" s="116"/>
      <c r="E131" s="116"/>
      <c r="F131" s="116"/>
    </row>
    <row r="132" spans="1:6" hidden="1">
      <c r="A132" s="138">
        <v>67</v>
      </c>
      <c r="B132" s="138" t="str">
        <f t="shared" si="4"/>
        <v>Dopłata do koloru gruntu</v>
      </c>
      <c r="C132" s="116"/>
      <c r="D132" s="116"/>
      <c r="E132" s="116"/>
      <c r="F132" s="116"/>
    </row>
    <row r="133" spans="1:6" hidden="1">
      <c r="A133" s="138">
        <v>68</v>
      </c>
      <c r="B133" s="138" t="str">
        <f t="shared" si="4"/>
        <v>Farba elewacyjna</v>
      </c>
      <c r="C133" s="116"/>
      <c r="D133" s="116"/>
      <c r="E133" s="116"/>
      <c r="F133" s="116"/>
    </row>
    <row r="134" spans="1:6" hidden="1">
      <c r="A134" s="138">
        <v>69</v>
      </c>
      <c r="B134" s="138" t="str">
        <f t="shared" si="4"/>
        <v>Dopłata do koloru farby</v>
      </c>
      <c r="C134" s="116"/>
      <c r="D134" s="116"/>
      <c r="E134" s="116"/>
      <c r="F134" s="116"/>
    </row>
    <row r="135" spans="1:6" hidden="1">
      <c r="A135" s="138">
        <v>70</v>
      </c>
      <c r="B135" s="138" t="str">
        <f t="shared" si="4"/>
        <v>grupa I - kolory pastelowe (bez dopłaty)</v>
      </c>
      <c r="C135" s="116"/>
      <c r="D135" s="116"/>
      <c r="E135" s="116"/>
      <c r="F135" s="116"/>
    </row>
    <row r="136" spans="1:6" hidden="1">
      <c r="A136" s="138">
        <v>71</v>
      </c>
      <c r="B136" s="138" t="str">
        <f t="shared" si="4"/>
        <v>grupa II - kolory średnio intensywne</v>
      </c>
      <c r="C136" s="116"/>
      <c r="D136" s="116"/>
      <c r="E136" s="116"/>
      <c r="F136" s="116"/>
    </row>
    <row r="137" spans="1:6" hidden="1">
      <c r="A137" s="138">
        <v>72</v>
      </c>
      <c r="B137" s="138" t="str">
        <f t="shared" si="4"/>
        <v>grupa III - kolory ciemne i nasycone</v>
      </c>
      <c r="C137" s="116"/>
      <c r="D137" s="116"/>
      <c r="E137" s="116"/>
      <c r="F137" s="116"/>
    </row>
    <row r="138" spans="1:6" hidden="1">
      <c r="A138" s="138">
        <v>73</v>
      </c>
      <c r="B138" s="138" t="str">
        <f t="shared" si="4"/>
        <v>grupa IV - wycena indywidualna</v>
      </c>
      <c r="C138" s="116"/>
      <c r="D138" s="116"/>
      <c r="E138" s="116"/>
      <c r="F138" s="116"/>
    </row>
    <row r="139" spans="1:6" hidden="1">
      <c r="A139" s="138">
        <v>74</v>
      </c>
      <c r="B139" s="138" t="str">
        <f t="shared" si="4"/>
        <v>biały - bez dopłaty</v>
      </c>
      <c r="C139" s="116"/>
      <c r="D139" s="116"/>
      <c r="E139" s="116"/>
      <c r="F139" s="116"/>
    </row>
    <row r="140" spans="1:6" hidden="1">
      <c r="A140" s="138">
        <v>75</v>
      </c>
      <c r="B140" s="138" t="str">
        <f t="shared" si="4"/>
        <v>grupa I - kolory pastelowe</v>
      </c>
      <c r="C140" s="116"/>
      <c r="D140" s="116"/>
      <c r="E140" s="116"/>
      <c r="F140" s="116"/>
    </row>
    <row r="141" spans="1:6" hidden="1">
      <c r="A141" s="138">
        <v>76</v>
      </c>
      <c r="B141" s="138" t="str">
        <f t="shared" si="4"/>
        <v>grupa II - kolory średnio intensywne</v>
      </c>
      <c r="C141" s="116"/>
      <c r="D141" s="116"/>
      <c r="E141" s="116"/>
      <c r="F141" s="116"/>
    </row>
    <row r="142" spans="1:6" hidden="1">
      <c r="A142" s="138">
        <v>77</v>
      </c>
      <c r="B142" s="138" t="str">
        <f t="shared" si="4"/>
        <v>grupa III - kolory ciemne i nasycone</v>
      </c>
      <c r="C142" s="116"/>
      <c r="D142" s="116"/>
      <c r="E142" s="116"/>
      <c r="F142" s="116"/>
    </row>
    <row r="143" spans="1:6" hidden="1">
      <c r="A143" s="138">
        <v>78</v>
      </c>
      <c r="B143" s="138" t="str">
        <f t="shared" si="4"/>
        <v>grupa IV - wycena indywidualna</v>
      </c>
      <c r="C143" s="116"/>
      <c r="D143" s="116"/>
      <c r="E143" s="116"/>
      <c r="F143" s="116"/>
    </row>
    <row r="144" spans="1:6" hidden="1">
      <c r="A144" s="138">
        <v>79</v>
      </c>
      <c r="B144" s="138" t="str">
        <f t="shared" si="4"/>
        <v>RAZEM:</v>
      </c>
      <c r="C144" s="116"/>
      <c r="D144" s="116"/>
      <c r="E144" s="116"/>
      <c r="F144" s="116"/>
    </row>
    <row r="145" spans="1:6" hidden="1">
      <c r="A145" s="138">
        <v>80</v>
      </c>
      <c r="B145" s="138" t="str">
        <f t="shared" si="4"/>
        <v>RABAT NA SYSTEM:</v>
      </c>
      <c r="C145" s="116"/>
      <c r="D145" s="116"/>
      <c r="E145" s="116"/>
      <c r="F145" s="116"/>
    </row>
    <row r="146" spans="1:6" hidden="1">
      <c r="A146" s="138">
        <v>81</v>
      </c>
      <c r="B146" s="138" t="str">
        <f t="shared" si="4"/>
        <v>RAZEM MATERIAŁY ALPOL Z RABATEM:</v>
      </c>
      <c r="C146" s="116"/>
      <c r="D146" s="116"/>
      <c r="E146" s="116"/>
      <c r="F146" s="116"/>
    </row>
    <row r="147" spans="1:6" hidden="1">
      <c r="A147" s="138">
        <v>82</v>
      </c>
      <c r="B147" s="138" t="str">
        <f t="shared" si="4"/>
        <v>DYSTRYBUCJA:</v>
      </c>
      <c r="C147" s="116"/>
      <c r="D147" s="116"/>
      <c r="E147" s="116"/>
      <c r="F147" s="116"/>
    </row>
    <row r="148" spans="1:6" hidden="1">
      <c r="A148" s="138">
        <v>83</v>
      </c>
      <c r="B148" s="138" t="str">
        <f t="shared" si="4"/>
        <v>Materiał izolacji termicznej</v>
      </c>
      <c r="C148" s="116"/>
      <c r="D148" s="116"/>
      <c r="E148" s="116"/>
      <c r="F148" s="116"/>
    </row>
    <row r="149" spans="1:6" hidden="1">
      <c r="A149" s="138">
        <v>84</v>
      </c>
      <c r="B149" s="138" t="str">
        <f t="shared" si="4"/>
        <v>łączniki mechaniczne i materiały uzupełniające</v>
      </c>
      <c r="C149" s="116"/>
      <c r="D149" s="116"/>
      <c r="E149" s="116"/>
      <c r="F149" s="116"/>
    </row>
    <row r="150" spans="1:6" hidden="1">
      <c r="A150" s="138">
        <v>85</v>
      </c>
      <c r="B150" s="138" t="str">
        <f t="shared" si="4"/>
        <v>Rabat</v>
      </c>
      <c r="C150" s="116"/>
      <c r="D150" s="116"/>
      <c r="E150" s="116"/>
      <c r="F150" s="116"/>
    </row>
    <row r="151" spans="1:6" hidden="1">
      <c r="A151" s="138">
        <v>86</v>
      </c>
      <c r="B151" s="138" t="str">
        <f t="shared" si="4"/>
        <v>Izolacja termiczna</v>
      </c>
      <c r="C151" s="116"/>
      <c r="D151" s="116"/>
      <c r="E151" s="116"/>
      <c r="F151" s="116"/>
    </row>
    <row r="152" spans="1:6" hidden="1">
      <c r="A152" s="138">
        <v>87</v>
      </c>
      <c r="B152" s="138" t="str">
        <f t="shared" si="4"/>
        <v>grubości</v>
      </c>
      <c r="C152" s="116"/>
      <c r="D152" s="116"/>
      <c r="E152" s="116"/>
      <c r="F152" s="116"/>
    </row>
    <row r="153" spans="1:6" hidden="1">
      <c r="A153" s="138">
        <v>88</v>
      </c>
      <c r="B153" s="138" t="str">
        <f t="shared" si="4"/>
        <v>Łączniki mechaniczne</v>
      </c>
      <c r="C153" s="116"/>
      <c r="D153" s="116"/>
      <c r="E153" s="116"/>
      <c r="F153" s="116"/>
    </row>
    <row r="154" spans="1:6" hidden="1">
      <c r="A154" s="138">
        <v>89</v>
      </c>
      <c r="B154" s="138" t="str">
        <f t="shared" si="4"/>
        <v>bez łączników mechanicznych</v>
      </c>
      <c r="C154" s="116"/>
      <c r="D154" s="116"/>
      <c r="E154" s="116"/>
      <c r="F154" s="116"/>
    </row>
    <row r="155" spans="1:6" hidden="1">
      <c r="A155" s="138">
        <v>90</v>
      </c>
      <c r="B155" s="138" t="str">
        <f t="shared" si="4"/>
        <v>Łącznik z trzpieniem stalowym wbijanym</v>
      </c>
      <c r="C155" s="116"/>
      <c r="D155" s="116"/>
      <c r="E155" s="116"/>
      <c r="F155" s="116"/>
    </row>
    <row r="156" spans="1:6" hidden="1">
      <c r="A156" s="138">
        <v>91</v>
      </c>
      <c r="B156" s="138" t="str">
        <f t="shared" si="4"/>
        <v>Łącznik z trzpieniem stalowym wkręcanym</v>
      </c>
      <c r="C156" s="116"/>
      <c r="D156" s="116"/>
      <c r="E156" s="116"/>
      <c r="F156" s="116"/>
    </row>
    <row r="157" spans="1:6" hidden="1">
      <c r="A157" s="138">
        <v>92</v>
      </c>
      <c r="B157" s="138" t="str">
        <f t="shared" si="4"/>
        <v>dł. min.</v>
      </c>
      <c r="C157" s="116"/>
      <c r="D157" s="116"/>
      <c r="E157" s="116"/>
      <c r="F157" s="116"/>
    </row>
    <row r="158" spans="1:6" hidden="1">
      <c r="A158" s="138">
        <v>93</v>
      </c>
      <c r="B158" s="138" t="str">
        <f t="shared" si="4"/>
        <v>cm</v>
      </c>
      <c r="C158" s="116"/>
      <c r="D158" s="116"/>
      <c r="E158" s="116"/>
      <c r="F158" s="116"/>
    </row>
    <row r="159" spans="1:6" hidden="1">
      <c r="A159" s="138">
        <v>94</v>
      </c>
      <c r="B159" s="138" t="str">
        <f t="shared" si="4"/>
        <v>Kołnierze dociskowe</v>
      </c>
      <c r="C159" s="116"/>
      <c r="D159" s="116"/>
      <c r="E159" s="116"/>
      <c r="F159" s="116"/>
    </row>
    <row r="160" spans="1:6" hidden="1">
      <c r="A160" s="138">
        <v>95</v>
      </c>
      <c r="B160" s="138" t="str">
        <f t="shared" si="4"/>
        <v>Kołnierz dociskowy Ø 140 mm</v>
      </c>
      <c r="C160" s="116"/>
      <c r="D160" s="116"/>
      <c r="E160" s="116"/>
      <c r="F160" s="116"/>
    </row>
    <row r="161" spans="1:6" hidden="1">
      <c r="A161" s="138">
        <v>96</v>
      </c>
      <c r="B161" s="138" t="str">
        <f t="shared" si="4"/>
        <v>Materiały uzupełniające</v>
      </c>
      <c r="C161" s="116"/>
      <c r="D161" s="116"/>
      <c r="E161" s="116"/>
      <c r="F161" s="116"/>
    </row>
    <row r="162" spans="1:6" hidden="1">
      <c r="A162" s="138">
        <v>97</v>
      </c>
      <c r="B162" s="138" t="str">
        <f t="shared" ref="B162:B194" si="5">VLOOKUP(A162,opisy,$M$1+1,0)</f>
        <v>Cena szacunkowa na 1 m2 powierzchni ocieplenia</v>
      </c>
      <c r="C162" s="116"/>
      <c r="D162" s="116"/>
      <c r="E162" s="116"/>
      <c r="F162" s="116"/>
    </row>
    <row r="163" spans="1:6" hidden="1">
      <c r="A163" s="138">
        <v>98</v>
      </c>
      <c r="B163" s="138" t="str">
        <f t="shared" si="5"/>
        <v>ZESTAWIENIE ILOŚCIOWO-WARTOŚCIOWE MATERIAŁÓW</v>
      </c>
      <c r="C163" s="116"/>
      <c r="D163" s="116"/>
      <c r="E163" s="116"/>
      <c r="F163" s="116"/>
    </row>
    <row r="164" spans="1:6" hidden="1">
      <c r="A164" s="138">
        <v>99</v>
      </c>
      <c r="B164" s="138" t="str">
        <f t="shared" si="5"/>
        <v>ceny materiałów z rabatem, po przeliczeniu na pełne opakowania</v>
      </c>
      <c r="C164" s="116"/>
      <c r="D164" s="116"/>
      <c r="E164" s="116"/>
      <c r="F164" s="116"/>
    </row>
    <row r="165" spans="1:6" hidden="1">
      <c r="A165" s="138">
        <v>100</v>
      </c>
      <c r="B165" s="138" t="str">
        <f t="shared" si="5"/>
        <v>Materiały na</v>
      </c>
      <c r="C165" s="116"/>
      <c r="D165" s="116"/>
      <c r="E165" s="116"/>
      <c r="F165" s="116"/>
    </row>
    <row r="166" spans="1:6" hidden="1">
      <c r="A166" s="138">
        <v>101</v>
      </c>
      <c r="B166" s="138" t="str">
        <f t="shared" si="5"/>
        <v>m2 powierzchni docieplenia</v>
      </c>
      <c r="C166" s="116"/>
      <c r="D166" s="116"/>
      <c r="E166" s="116"/>
      <c r="F166" s="116"/>
    </row>
    <row r="167" spans="1:6" hidden="1">
      <c r="A167" s="138">
        <v>102</v>
      </c>
      <c r="B167" s="138" t="str">
        <f t="shared" si="5"/>
        <v>Jedn.</v>
      </c>
      <c r="C167" s="116"/>
      <c r="D167" s="116"/>
      <c r="E167" s="116"/>
      <c r="F167" s="116"/>
    </row>
    <row r="168" spans="1:6" hidden="1">
      <c r="A168" s="138">
        <v>103</v>
      </c>
      <c r="B168" s="138" t="str">
        <f t="shared" si="5"/>
        <v>Ilość</v>
      </c>
      <c r="C168" s="116"/>
      <c r="D168" s="116"/>
      <c r="E168" s="116"/>
      <c r="F168" s="116"/>
    </row>
    <row r="169" spans="1:6" hidden="1">
      <c r="A169" s="138">
        <v>104</v>
      </c>
      <c r="B169" s="138" t="str">
        <f t="shared" si="5"/>
        <v>Cena</v>
      </c>
      <c r="C169" s="116"/>
      <c r="D169" s="116"/>
      <c r="E169" s="116"/>
      <c r="F169" s="116"/>
    </row>
    <row r="170" spans="1:6" hidden="1">
      <c r="A170" s="138">
        <v>105</v>
      </c>
      <c r="B170" s="138" t="str">
        <f t="shared" si="5"/>
        <v>Wartość</v>
      </c>
      <c r="C170" s="116"/>
      <c r="D170" s="116"/>
      <c r="E170" s="116"/>
      <c r="F170" s="116"/>
    </row>
    <row r="171" spans="1:6" hidden="1">
      <c r="A171" s="138">
        <v>106</v>
      </c>
      <c r="B171" s="138" t="str">
        <f t="shared" si="5"/>
        <v>wartość szacunkowa na</v>
      </c>
      <c r="C171" s="116"/>
      <c r="D171" s="116"/>
      <c r="E171" s="116"/>
      <c r="F171" s="116"/>
    </row>
    <row r="172" spans="1:6" hidden="1">
      <c r="A172" s="138">
        <v>107</v>
      </c>
      <c r="B172" s="138" t="str">
        <f t="shared" si="5"/>
        <v>m2 pow. ocieplenia</v>
      </c>
      <c r="C172" s="116"/>
      <c r="D172" s="116"/>
      <c r="E172" s="116"/>
      <c r="F172" s="116"/>
    </row>
    <row r="173" spans="1:6" hidden="1">
      <c r="A173" s="138">
        <v>108</v>
      </c>
      <c r="B173" s="138" t="str">
        <f t="shared" si="5"/>
        <v>Uwaga: Kalkulacja nie uwzględnia dopłat</v>
      </c>
      <c r="C173" s="116"/>
      <c r="D173" s="116"/>
      <c r="E173" s="116"/>
      <c r="F173" s="116"/>
    </row>
    <row r="174" spans="1:6" hidden="1">
      <c r="A174" s="138">
        <v>109</v>
      </c>
      <c r="B174" s="138" t="str">
        <f t="shared" si="5"/>
        <v>do tynków, gruntów i farb w kolorach grupy IV</v>
      </c>
      <c r="C174" s="116"/>
      <c r="D174" s="116"/>
      <c r="E174" s="116"/>
      <c r="F174" s="116"/>
    </row>
    <row r="175" spans="1:6" hidden="1">
      <c r="A175" s="138">
        <v>110</v>
      </c>
      <c r="B175" s="138" t="str">
        <f t="shared" si="5"/>
        <v>Nazwa produktu ALPOL</v>
      </c>
      <c r="C175" s="116"/>
      <c r="D175" s="116"/>
      <c r="E175" s="116"/>
      <c r="F175" s="116"/>
    </row>
    <row r="176" spans="1:6" hidden="1">
      <c r="A176" s="138">
        <v>111</v>
      </c>
      <c r="B176" s="138" t="str">
        <f t="shared" si="5"/>
        <v>- bez farby</v>
      </c>
      <c r="C176" s="116"/>
      <c r="D176" s="116"/>
      <c r="E176" s="116"/>
      <c r="F176" s="116"/>
    </row>
    <row r="177" spans="1:6" hidden="1">
      <c r="A177" s="138">
        <v>112</v>
      </c>
      <c r="B177" s="138" t="str">
        <f t="shared" si="5"/>
        <v>AF 660 - Farba elewacyjna silikatowa x 2</v>
      </c>
      <c r="C177" s="116"/>
      <c r="D177" s="116"/>
      <c r="E177" s="116"/>
      <c r="F177" s="116"/>
    </row>
    <row r="178" spans="1:6" hidden="1">
      <c r="A178" s="138">
        <v>113</v>
      </c>
      <c r="B178" s="138" t="str">
        <f t="shared" si="5"/>
        <v>AF 680 - Farba elewacyjna silikonowa x 2</v>
      </c>
      <c r="C178" s="116"/>
      <c r="D178" s="116"/>
      <c r="E178" s="116"/>
      <c r="F178" s="116"/>
    </row>
    <row r="179" spans="1:6" hidden="1">
      <c r="A179" s="138">
        <v>114</v>
      </c>
      <c r="B179" s="138" t="str">
        <f t="shared" si="5"/>
        <v>AG 701 - Grunt pod tynki mineralne</v>
      </c>
      <c r="C179" s="116"/>
      <c r="D179" s="116"/>
      <c r="E179" s="116"/>
      <c r="F179" s="116"/>
    </row>
    <row r="180" spans="1:6" hidden="1">
      <c r="A180" s="138">
        <v>115</v>
      </c>
      <c r="B180" s="138" t="str">
        <f t="shared" si="5"/>
        <v>AG 706 - Grunt pod tynki krzemianowe</v>
      </c>
      <c r="C180" s="116"/>
      <c r="D180" s="116"/>
      <c r="E180" s="116"/>
      <c r="F180" s="116"/>
    </row>
    <row r="181" spans="1:6" hidden="1">
      <c r="A181" s="138">
        <v>116</v>
      </c>
      <c r="B181" s="138" t="str">
        <f t="shared" si="5"/>
        <v>AK 531- Klej do ociepleń BIAŁY</v>
      </c>
      <c r="C181" s="116"/>
      <c r="D181" s="116"/>
      <c r="E181" s="116"/>
      <c r="F181" s="116"/>
    </row>
    <row r="182" spans="1:6" hidden="1">
      <c r="A182" s="138">
        <v>117</v>
      </c>
      <c r="B182" s="138" t="str">
        <f t="shared" si="5"/>
        <v>AK 533 - Klej do ociepleń na wełnie mineralnej</v>
      </c>
      <c r="C182" s="116"/>
      <c r="D182" s="116"/>
      <c r="E182" s="116"/>
      <c r="F182" s="116"/>
    </row>
    <row r="183" spans="1:6" hidden="1">
      <c r="A183" s="138">
        <v>118</v>
      </c>
      <c r="B183" s="138" t="str">
        <f t="shared" si="5"/>
        <v>AK 534 - Klej do ociepleń ZIMOWY</v>
      </c>
      <c r="C183" s="116"/>
      <c r="D183" s="116"/>
      <c r="E183" s="116"/>
      <c r="F183" s="116"/>
    </row>
    <row r="184" spans="1:6" hidden="1">
      <c r="A184" s="138">
        <v>119</v>
      </c>
      <c r="B184" s="138" t="str">
        <f t="shared" si="5"/>
        <v>- bez tynku dekoracyjnego (w systemie garażowym)</v>
      </c>
      <c r="C184" s="116"/>
      <c r="D184" s="116"/>
      <c r="E184" s="116"/>
      <c r="F184" s="116"/>
    </row>
    <row r="185" spans="1:6" hidden="1">
      <c r="A185" s="138">
        <v>120</v>
      </c>
      <c r="B185" s="138" t="str">
        <f t="shared" si="5"/>
        <v>AT 320 - Tynk mineralny biały baranek 2 mm</v>
      </c>
      <c r="C185" s="116"/>
      <c r="D185" s="116"/>
      <c r="E185" s="116"/>
      <c r="F185" s="116"/>
    </row>
    <row r="186" spans="1:6" hidden="1">
      <c r="A186" s="138">
        <v>121</v>
      </c>
      <c r="B186" s="138" t="str">
        <f t="shared" si="5"/>
        <v>AT 321 - Tynk mineralny biały kornik 2 mm</v>
      </c>
      <c r="C186" s="116"/>
      <c r="D186" s="116"/>
      <c r="E186" s="116"/>
      <c r="F186" s="116"/>
    </row>
    <row r="187" spans="1:6" hidden="1">
      <c r="A187" s="138">
        <v>122</v>
      </c>
      <c r="B187" s="138" t="str">
        <f t="shared" si="5"/>
        <v>AT 322 - Tynk mineralny biały kornik 3 mm</v>
      </c>
      <c r="C187" s="116"/>
      <c r="D187" s="116"/>
      <c r="E187" s="116"/>
      <c r="F187" s="116"/>
    </row>
    <row r="188" spans="1:6" hidden="1">
      <c r="A188" s="138">
        <v>123</v>
      </c>
      <c r="B188" s="138" t="str">
        <f t="shared" si="5"/>
        <v>AT 325 - Tynk mineralny extra, biały baranek 1,5 mm</v>
      </c>
      <c r="C188" s="116"/>
      <c r="D188" s="116"/>
      <c r="E188" s="116"/>
      <c r="F188" s="116"/>
    </row>
    <row r="189" spans="1:6" hidden="1">
      <c r="A189" s="138">
        <v>124</v>
      </c>
      <c r="B189" s="138" t="str">
        <f t="shared" si="5"/>
        <v>AT 326 - Tynk mineralny extra, biały baranek 2 mm</v>
      </c>
      <c r="C189" s="116"/>
      <c r="D189" s="116"/>
      <c r="E189" s="116"/>
      <c r="F189" s="116"/>
    </row>
    <row r="190" spans="1:6" hidden="1">
      <c r="A190" s="138">
        <v>125</v>
      </c>
      <c r="B190" s="138" t="str">
        <f t="shared" si="5"/>
        <v>AT 327 - Tynk mineralny extra, biały baranek 2,5 mm</v>
      </c>
      <c r="C190" s="116"/>
      <c r="D190" s="116"/>
      <c r="E190" s="116"/>
      <c r="F190" s="116"/>
    </row>
    <row r="191" spans="1:6" hidden="1">
      <c r="A191" s="138">
        <v>126</v>
      </c>
      <c r="B191" s="138" t="str">
        <f t="shared" si="5"/>
        <v>AT 330 - Tynk mineralny szary baranek 2 mm</v>
      </c>
      <c r="C191" s="116"/>
      <c r="D191" s="116"/>
      <c r="E191" s="116"/>
      <c r="F191" s="116"/>
    </row>
    <row r="192" spans="1:6" hidden="1">
      <c r="A192" s="138">
        <v>127</v>
      </c>
      <c r="B192" s="138" t="str">
        <f t="shared" si="5"/>
        <v>AT 331 - Tynk mineralny szary kornik 2 mm</v>
      </c>
      <c r="C192" s="116"/>
      <c r="D192" s="116"/>
      <c r="E192" s="116"/>
      <c r="F192" s="116"/>
    </row>
    <row r="193" spans="1:6" hidden="1">
      <c r="A193" s="138">
        <v>128</v>
      </c>
      <c r="B193" s="138" t="str">
        <f t="shared" si="5"/>
        <v>AT 332 - Tynk mineralny szary kornik 3 mm</v>
      </c>
      <c r="C193" s="116"/>
      <c r="D193" s="116"/>
      <c r="E193" s="116"/>
      <c r="F193" s="116"/>
    </row>
    <row r="194" spans="1:6" hidden="1">
      <c r="A194" s="138">
        <v>129</v>
      </c>
      <c r="B194" s="138" t="str">
        <f t="shared" si="5"/>
        <v>AT 336 - Tynk mineralny extra, szary baranek 2 mm</v>
      </c>
      <c r="C194" s="116"/>
      <c r="D194" s="116"/>
      <c r="E194" s="116"/>
      <c r="F194" s="116"/>
    </row>
    <row r="195" spans="1:6" hidden="1">
      <c r="A195" s="138">
        <v>130</v>
      </c>
      <c r="B195" s="138" t="str">
        <f t="shared" ref="B195:B214" si="6">VLOOKUP(A195,opisy,$M$1+1,0)</f>
        <v>AT 338 - Tynk mineralny extra, szary baranek 3 mm</v>
      </c>
      <c r="C195" s="116"/>
      <c r="D195" s="116"/>
      <c r="E195" s="116"/>
      <c r="F195" s="116"/>
    </row>
    <row r="196" spans="1:6" hidden="1">
      <c r="A196" s="138">
        <v>131</v>
      </c>
      <c r="B196" s="138" t="str">
        <f t="shared" si="6"/>
        <v>AT 370 - Tynk silikatowo-silikonowy baranek 1 mm</v>
      </c>
      <c r="C196" s="116"/>
      <c r="D196" s="116"/>
      <c r="E196" s="116"/>
      <c r="F196" s="116"/>
    </row>
    <row r="197" spans="1:6" hidden="1">
      <c r="A197" s="138">
        <v>132</v>
      </c>
      <c r="B197" s="138" t="str">
        <f t="shared" si="6"/>
        <v>AT 371 - Tynk silikatowo-silikonowy baranek 1,5 mm</v>
      </c>
      <c r="C197" s="116"/>
      <c r="D197" s="116"/>
      <c r="E197" s="116"/>
      <c r="F197" s="116"/>
    </row>
    <row r="198" spans="1:6" hidden="1">
      <c r="A198" s="138">
        <v>133</v>
      </c>
      <c r="B198" s="138" t="str">
        <f t="shared" si="6"/>
        <v>AT 372 - Tynk silikatowo-silikonowy baranek 2 mm</v>
      </c>
      <c r="C198" s="116"/>
      <c r="D198" s="116"/>
      <c r="E198" s="116"/>
      <c r="F198" s="116"/>
    </row>
    <row r="199" spans="1:6" hidden="1">
      <c r="A199" s="138">
        <v>134</v>
      </c>
      <c r="B199" s="138" t="str">
        <f t="shared" si="6"/>
        <v>AT 376 - Tynk silikatowo-silikonowy kornik 1,5 mm</v>
      </c>
      <c r="C199" s="116"/>
      <c r="D199" s="116"/>
      <c r="E199" s="116"/>
      <c r="F199" s="116"/>
    </row>
    <row r="200" spans="1:6" hidden="1">
      <c r="A200" s="138">
        <v>135</v>
      </c>
      <c r="B200" s="138" t="str">
        <f t="shared" si="6"/>
        <v>AT 377 - Tynk silikatowo-silikonowy kornik 2 mm</v>
      </c>
      <c r="C200" s="116"/>
      <c r="D200" s="116"/>
      <c r="E200" s="116"/>
      <c r="F200" s="116"/>
    </row>
    <row r="201" spans="1:6" hidden="1">
      <c r="A201" s="138">
        <v>136</v>
      </c>
      <c r="B201" s="138" t="str">
        <f t="shared" si="6"/>
        <v>AT 378 - Tynk silikatowo-silikonowy kornik 2,5 mm</v>
      </c>
      <c r="C201" s="116"/>
      <c r="D201" s="116"/>
      <c r="E201" s="116"/>
      <c r="F201" s="116"/>
    </row>
    <row r="202" spans="1:6" hidden="1">
      <c r="A202" s="138">
        <v>137</v>
      </c>
      <c r="B202" s="138" t="str">
        <f t="shared" si="6"/>
        <v>ALPOL 145 - siatka z włókna szklanego</v>
      </c>
      <c r="C202" s="116"/>
      <c r="D202" s="116"/>
      <c r="E202" s="116"/>
      <c r="F202" s="116"/>
    </row>
    <row r="203" spans="1:6" hidden="1">
      <c r="A203" s="138">
        <v>138</v>
      </c>
      <c r="B203" s="138" t="str">
        <f t="shared" si="6"/>
        <v>VERTEX AKE 145A - siatka z włókna szklanego</v>
      </c>
      <c r="C203" s="116"/>
      <c r="D203" s="116"/>
      <c r="E203" s="116"/>
      <c r="F203" s="116"/>
    </row>
    <row r="204" spans="1:6" hidden="1">
      <c r="A204" s="138">
        <v>139</v>
      </c>
      <c r="B204" s="138" t="str">
        <f t="shared" si="6"/>
        <v>tnki    grunty   farby   grupa IV</v>
      </c>
      <c r="C204" s="116"/>
      <c r="D204" s="116"/>
      <c r="E204" s="116"/>
      <c r="F204" s="116"/>
    </row>
    <row r="205" spans="1:6" hidden="1">
      <c r="A205" s="138">
        <v>140</v>
      </c>
      <c r="B205" s="138" t="str">
        <f t="shared" si="6"/>
        <v>Opakowanie</v>
      </c>
      <c r="C205" s="116"/>
      <c r="D205" s="116"/>
      <c r="E205" s="116"/>
      <c r="F205" s="116"/>
    </row>
    <row r="206" spans="1:6" hidden="1">
      <c r="A206" s="138">
        <v>141</v>
      </c>
      <c r="B206" s="138" t="str">
        <f t="shared" si="6"/>
        <v>szt.</v>
      </c>
      <c r="C206" s="116"/>
      <c r="D206" s="116"/>
      <c r="E206" s="116"/>
      <c r="F206" s="116"/>
    </row>
    <row r="207" spans="1:6" hidden="1">
      <c r="A207" s="138">
        <v>142</v>
      </c>
      <c r="B207" s="138" t="str">
        <f t="shared" si="6"/>
        <v>1000 szt.</v>
      </c>
      <c r="C207" s="116"/>
      <c r="D207" s="116"/>
      <c r="E207" s="116"/>
      <c r="F207" s="116"/>
    </row>
    <row r="208" spans="1:6" hidden="1">
      <c r="A208" s="138">
        <v>143</v>
      </c>
      <c r="B208" s="138" t="str">
        <f t="shared" si="6"/>
        <v>kg</v>
      </c>
      <c r="C208" s="116"/>
      <c r="D208" s="116"/>
      <c r="E208" s="116"/>
      <c r="F208" s="116"/>
    </row>
    <row r="209" spans="1:6" hidden="1">
      <c r="A209" s="138">
        <v>144</v>
      </c>
      <c r="B209" s="138" t="str">
        <f t="shared" si="6"/>
        <v>m2</v>
      </c>
      <c r="C209" s="116"/>
      <c r="D209" s="116"/>
      <c r="E209" s="116"/>
      <c r="F209" s="116"/>
    </row>
    <row r="210" spans="1:6" hidden="1">
      <c r="A210" s="138">
        <v>145</v>
      </c>
      <c r="B210" s="138" t="str">
        <f t="shared" si="6"/>
        <v>m3</v>
      </c>
      <c r="C210" s="116"/>
      <c r="D210" s="116"/>
      <c r="E210" s="116"/>
      <c r="F210" s="116"/>
    </row>
    <row r="211" spans="1:6" hidden="1">
      <c r="A211" s="138">
        <v>146</v>
      </c>
      <c r="B211" s="138" t="str">
        <f t="shared" si="6"/>
        <v>litr</v>
      </c>
      <c r="C211" s="116"/>
      <c r="D211" s="116"/>
      <c r="E211" s="116"/>
      <c r="F211" s="116"/>
    </row>
    <row r="212" spans="1:6" hidden="1">
      <c r="A212" s="138">
        <v>147</v>
      </c>
      <c r="B212" s="138" t="str">
        <f t="shared" si="6"/>
        <v>Ceny netto</v>
      </c>
      <c r="C212" s="116"/>
      <c r="D212" s="116"/>
      <c r="E212" s="116"/>
      <c r="F212" s="116"/>
    </row>
    <row r="213" spans="1:6" hidden="1">
      <c r="A213" s="138">
        <v>148</v>
      </c>
      <c r="B213" s="138" t="str">
        <f t="shared" si="6"/>
        <v>ceny brutto</v>
      </c>
      <c r="C213" s="116"/>
      <c r="D213" s="116"/>
      <c r="E213" s="116"/>
      <c r="F213" s="116"/>
    </row>
    <row r="214" spans="1:6" hidden="1">
      <c r="A214" s="138">
        <v>149</v>
      </c>
      <c r="B214" s="138" t="str">
        <f t="shared" si="6"/>
        <v>Kalkulator</v>
      </c>
      <c r="C214" s="116"/>
      <c r="D214" s="116"/>
      <c r="E214" s="116"/>
      <c r="F214" s="116"/>
    </row>
  </sheetData>
  <sheetProtection password="F71C" sheet="1" objects="1" scenarios="1" selectLockedCells="1"/>
  <protectedRanges>
    <protectedRange password="8158" sqref="C3:C5 I2 I4:I5" name="Zakres1_1"/>
  </protectedRanges>
  <mergeCells count="103">
    <mergeCell ref="F1:H1"/>
    <mergeCell ref="A1:E3"/>
    <mergeCell ref="F3:H3"/>
    <mergeCell ref="L30:L32"/>
    <mergeCell ref="L28:L29"/>
    <mergeCell ref="A25:B25"/>
    <mergeCell ref="C26:E26"/>
    <mergeCell ref="E32:I32"/>
    <mergeCell ref="E30:I30"/>
    <mergeCell ref="A27:B27"/>
    <mergeCell ref="C27:E27"/>
    <mergeCell ref="F4:H4"/>
    <mergeCell ref="F14:I14"/>
    <mergeCell ref="K15:K16"/>
    <mergeCell ref="K17:K20"/>
    <mergeCell ref="G16:G17"/>
    <mergeCell ref="A15:I15"/>
    <mergeCell ref="C18:E18"/>
    <mergeCell ref="C19:E19"/>
    <mergeCell ref="A18:B18"/>
    <mergeCell ref="A19:B19"/>
    <mergeCell ref="F2:H2"/>
    <mergeCell ref="A14:C14"/>
    <mergeCell ref="A22:B22"/>
    <mergeCell ref="K38:K39"/>
    <mergeCell ref="F63:G63"/>
    <mergeCell ref="E35:G36"/>
    <mergeCell ref="H35:H36"/>
    <mergeCell ref="A49:I49"/>
    <mergeCell ref="A48:I48"/>
    <mergeCell ref="A62:B62"/>
    <mergeCell ref="A40:B40"/>
    <mergeCell ref="A38:E39"/>
    <mergeCell ref="A42:B42"/>
    <mergeCell ref="I35:I36"/>
    <mergeCell ref="A63:E63"/>
    <mergeCell ref="A53:B53"/>
    <mergeCell ref="A54:B54"/>
    <mergeCell ref="A58:B58"/>
    <mergeCell ref="A55:B55"/>
    <mergeCell ref="A56:B56"/>
    <mergeCell ref="A57:B57"/>
    <mergeCell ref="A61:B61"/>
    <mergeCell ref="C61:E61"/>
    <mergeCell ref="A59:B59"/>
    <mergeCell ref="C60:E60"/>
    <mergeCell ref="C59:E59"/>
    <mergeCell ref="C42:E42"/>
    <mergeCell ref="C57:E57"/>
    <mergeCell ref="F62:H62"/>
    <mergeCell ref="C58:E58"/>
    <mergeCell ref="A60:B60"/>
    <mergeCell ref="A43:B43"/>
    <mergeCell ref="C43:E43"/>
    <mergeCell ref="A50:I50"/>
    <mergeCell ref="A47:E47"/>
    <mergeCell ref="A45:E45"/>
    <mergeCell ref="A46:I46"/>
    <mergeCell ref="A51:I51"/>
    <mergeCell ref="C56:E56"/>
    <mergeCell ref="C55:E55"/>
    <mergeCell ref="C54:E54"/>
    <mergeCell ref="C53:E53"/>
    <mergeCell ref="A52:E52"/>
    <mergeCell ref="A44:I44"/>
    <mergeCell ref="C23:E23"/>
    <mergeCell ref="A28:I28"/>
    <mergeCell ref="A26:B26"/>
    <mergeCell ref="A41:B41"/>
    <mergeCell ref="G38:G39"/>
    <mergeCell ref="C40:E40"/>
    <mergeCell ref="C24:E24"/>
    <mergeCell ref="A20:B20"/>
    <mergeCell ref="C22:E22"/>
    <mergeCell ref="F21:I21"/>
    <mergeCell ref="H38:I38"/>
    <mergeCell ref="E34:I34"/>
    <mergeCell ref="A29:D36"/>
    <mergeCell ref="A37:I37"/>
    <mergeCell ref="A24:B24"/>
    <mergeCell ref="C20:E20"/>
    <mergeCell ref="A21:E21"/>
    <mergeCell ref="A23:B23"/>
    <mergeCell ref="C25:E25"/>
    <mergeCell ref="C41:E41"/>
    <mergeCell ref="A16:E17"/>
    <mergeCell ref="A4:B5"/>
    <mergeCell ref="A7:A8"/>
    <mergeCell ref="C5:E5"/>
    <mergeCell ref="C4:E4"/>
    <mergeCell ref="B7:G7"/>
    <mergeCell ref="A10:I10"/>
    <mergeCell ref="A11:I11"/>
    <mergeCell ref="H7:I7"/>
    <mergeCell ref="H8:I8"/>
    <mergeCell ref="B8:G8"/>
    <mergeCell ref="F12:I12"/>
    <mergeCell ref="D12:D13"/>
    <mergeCell ref="A12:C13"/>
    <mergeCell ref="F5:H5"/>
    <mergeCell ref="F13:I13"/>
    <mergeCell ref="A9:I9"/>
    <mergeCell ref="H16:I16"/>
  </mergeCells>
  <phoneticPr fontId="2" type="noConversion"/>
  <conditionalFormatting sqref="C40:E40">
    <cfRule type="expression" dxfId="46" priority="4" stopIfTrue="1">
      <formula>AND($M$42,$M$43,D14&gt;0)</formula>
    </cfRule>
  </conditionalFormatting>
  <conditionalFormatting sqref="C56:E56">
    <cfRule type="expression" dxfId="45" priority="5" stopIfTrue="1">
      <formula>OR(AND($C$22="- bez tynku dekoracyjnego (w systemie garażowym)",$F$12&gt;"ściana"),AND($C$22&gt;="AT 370",$F$12&lt;="ściana"))</formula>
    </cfRule>
  </conditionalFormatting>
  <conditionalFormatting sqref="C58:E58">
    <cfRule type="expression" dxfId="44" priority="6" stopIfTrue="1">
      <formula>$G$58=0</formula>
    </cfRule>
  </conditionalFormatting>
  <conditionalFormatting sqref="C60:F60">
    <cfRule type="expression" dxfId="43" priority="7" stopIfTrue="1">
      <formula>$G$60=0</formula>
    </cfRule>
  </conditionalFormatting>
  <conditionalFormatting sqref="G41:H41">
    <cfRule type="expression" dxfId="42" priority="8" stopIfTrue="1">
      <formula>$F$41=0</formula>
    </cfRule>
  </conditionalFormatting>
  <conditionalFormatting sqref="G42:H42">
    <cfRule type="expression" dxfId="41" priority="9" stopIfTrue="1">
      <formula>$F$42=0</formula>
    </cfRule>
  </conditionalFormatting>
  <conditionalFormatting sqref="A27:B27">
    <cfRule type="expression" dxfId="40" priority="10" stopIfTrue="1">
      <formula>OR($C$22&gt;"AT 349",$C$26="- bez farby")</formula>
    </cfRule>
  </conditionalFormatting>
  <conditionalFormatting sqref="G23">
    <cfRule type="expression" dxfId="39" priority="11" stopIfTrue="1">
      <formula>$F$23=0</formula>
    </cfRule>
  </conditionalFormatting>
  <conditionalFormatting sqref="G26">
    <cfRule type="expression" dxfId="38" priority="12" stopIfTrue="1">
      <formula>$F$26=0</formula>
    </cfRule>
  </conditionalFormatting>
  <conditionalFormatting sqref="G27">
    <cfRule type="expression" dxfId="37" priority="13" stopIfTrue="1">
      <formula>$F$27=0</formula>
    </cfRule>
  </conditionalFormatting>
  <conditionalFormatting sqref="G22">
    <cfRule type="expression" dxfId="36" priority="14" stopIfTrue="1">
      <formula>$F$22=0</formula>
    </cfRule>
  </conditionalFormatting>
  <conditionalFormatting sqref="G24">
    <cfRule type="expression" dxfId="35" priority="15" stopIfTrue="1">
      <formula>$F$24=0</formula>
    </cfRule>
  </conditionalFormatting>
  <conditionalFormatting sqref="D62:E62">
    <cfRule type="expression" dxfId="34" priority="16" stopIfTrue="1">
      <formula>$C$22&gt;"AT 349"</formula>
    </cfRule>
  </conditionalFormatting>
  <conditionalFormatting sqref="C62">
    <cfRule type="expression" dxfId="33" priority="17" stopIfTrue="1">
      <formula>$I$62=0</formula>
    </cfRule>
  </conditionalFormatting>
  <conditionalFormatting sqref="A62:B62">
    <cfRule type="expression" dxfId="32" priority="18" stopIfTrue="1">
      <formula>$I$62=0</formula>
    </cfRule>
  </conditionalFormatting>
  <conditionalFormatting sqref="F58">
    <cfRule type="expression" dxfId="31" priority="19" stopIfTrue="1">
      <formula>$F$26=0</formula>
    </cfRule>
  </conditionalFormatting>
  <conditionalFormatting sqref="F56">
    <cfRule type="expression" dxfId="30" priority="20" stopIfTrue="1">
      <formula>$G$56=0</formula>
    </cfRule>
  </conditionalFormatting>
  <conditionalFormatting sqref="C57:F57 H57">
    <cfRule type="expression" dxfId="29" priority="21" stopIfTrue="1">
      <formula>$G$57=0</formula>
    </cfRule>
  </conditionalFormatting>
  <conditionalFormatting sqref="A23:B23">
    <cfRule type="expression" dxfId="28" priority="22" stopIfTrue="1">
      <formula>OR($C$22&lt;"AT 350",$C$22&gt;"AT 390",$H$22=0)</formula>
    </cfRule>
  </conditionalFormatting>
  <conditionalFormatting sqref="C24:E24">
    <cfRule type="expression" dxfId="27" priority="23" stopIfTrue="1">
      <formula>$F$24=0</formula>
    </cfRule>
  </conditionalFormatting>
  <conditionalFormatting sqref="C25:E25">
    <cfRule type="expression" dxfId="26" priority="24" stopIfTrue="1">
      <formula>$C$24&lt;"AG 705"</formula>
    </cfRule>
    <cfRule type="expression" dxfId="25" priority="25" stopIfTrue="1">
      <formula>$F$24=0</formula>
    </cfRule>
  </conditionalFormatting>
  <conditionalFormatting sqref="A24:B24">
    <cfRule type="expression" dxfId="24" priority="26" stopIfTrue="1">
      <formula>$F$24=0</formula>
    </cfRule>
  </conditionalFormatting>
  <conditionalFormatting sqref="A25:B25">
    <cfRule type="expression" dxfId="23" priority="27" stopIfTrue="1">
      <formula>OR($C$24&lt;"AG 705",$F$24=0)</formula>
    </cfRule>
  </conditionalFormatting>
  <conditionalFormatting sqref="F61">
    <cfRule type="expression" dxfId="22" priority="28" stopIfTrue="1">
      <formula>$G$61=0</formula>
    </cfRule>
  </conditionalFormatting>
  <conditionalFormatting sqref="H26:H27">
    <cfRule type="expression" dxfId="21" priority="29" stopIfTrue="1">
      <formula>$F$26=0</formula>
    </cfRule>
  </conditionalFormatting>
  <conditionalFormatting sqref="A26:B26 A58:B58">
    <cfRule type="expression" dxfId="20" priority="30" stopIfTrue="1">
      <formula>$C$22&gt;"AT 349"</formula>
    </cfRule>
  </conditionalFormatting>
  <conditionalFormatting sqref="C26:E26">
    <cfRule type="expression" dxfId="19" priority="31" stopIfTrue="1">
      <formula>$C$22&gt;"AT 349"</formula>
    </cfRule>
  </conditionalFormatting>
  <conditionalFormatting sqref="H40">
    <cfRule type="expression" dxfId="18" priority="32" stopIfTrue="1">
      <formula>$F$40=0</formula>
    </cfRule>
  </conditionalFormatting>
  <conditionalFormatting sqref="H59">
    <cfRule type="expression" dxfId="17" priority="33" stopIfTrue="1">
      <formula>$F$40=0</formula>
    </cfRule>
  </conditionalFormatting>
  <conditionalFormatting sqref="K15:K21">
    <cfRule type="expression" dxfId="16" priority="34" stopIfTrue="1">
      <formula>$M$21&gt;0</formula>
    </cfRule>
  </conditionalFormatting>
  <conditionalFormatting sqref="K26">
    <cfRule type="expression" dxfId="15" priority="35" stopIfTrue="1">
      <formula>$M$26=0</formula>
    </cfRule>
  </conditionalFormatting>
  <conditionalFormatting sqref="K24">
    <cfRule type="expression" dxfId="14" priority="36" stopIfTrue="1">
      <formula>$M$24=0</formula>
    </cfRule>
  </conditionalFormatting>
  <conditionalFormatting sqref="C22:E22">
    <cfRule type="expression" dxfId="13" priority="39" stopIfTrue="1">
      <formula>AND(tynk="0",przegroda="E")</formula>
    </cfRule>
    <cfRule type="expression" dxfId="12" priority="40" stopIfTrue="1">
      <formula>AND(tynk="S",OR(wysokość="W",przegroda="G"))</formula>
    </cfRule>
  </conditionalFormatting>
  <conditionalFormatting sqref="K22">
    <cfRule type="expression" dxfId="11" priority="42" stopIfTrue="1">
      <formula>$M$22=0</formula>
    </cfRule>
  </conditionalFormatting>
  <conditionalFormatting sqref="K40">
    <cfRule type="expression" dxfId="10" priority="43" stopIfTrue="1">
      <formula>OR($L$13&lt;6,$D$14&lt;=0)</formula>
    </cfRule>
  </conditionalFormatting>
  <conditionalFormatting sqref="A60:B60">
    <cfRule type="expression" dxfId="9" priority="44" stopIfTrue="1">
      <formula>$G$60=0</formula>
    </cfRule>
  </conditionalFormatting>
  <conditionalFormatting sqref="A61:B61">
    <cfRule type="expression" dxfId="8" priority="45" stopIfTrue="1">
      <formula>$G$61=0</formula>
    </cfRule>
  </conditionalFormatting>
  <conditionalFormatting sqref="F18">
    <cfRule type="expression" dxfId="7" priority="3" stopIfTrue="1">
      <formula>OR($F$18&lt;$M$34,$F$18&gt;$M$36)</formula>
    </cfRule>
  </conditionalFormatting>
  <conditionalFormatting sqref="C23:E23">
    <cfRule type="expression" dxfId="6" priority="80" stopIfTrue="1">
      <formula>OR($C$22&lt;"AT 350",$C$22&gt;"AT 390")</formula>
    </cfRule>
    <cfRule type="expression" dxfId="5" priority="81" stopIfTrue="1">
      <formula>OR(AND($C$22=$B$184,$L$12="G"),AND($C$22&gt;="AT 370",$F$12&lt;="ściana"))</formula>
    </cfRule>
  </conditionalFormatting>
  <conditionalFormatting sqref="C27:E27">
    <cfRule type="expression" dxfId="4" priority="84" stopIfTrue="1">
      <formula>OR($C$22&gt;"AT 349",$C$26=$B$176)</formula>
    </cfRule>
  </conditionalFormatting>
  <conditionalFormatting sqref="F3:H3">
    <cfRule type="expression" dxfId="3" priority="2">
      <formula>$N$2</formula>
    </cfRule>
  </conditionalFormatting>
  <conditionalFormatting sqref="I3">
    <cfRule type="expression" dxfId="2" priority="1">
      <formula>$N$2</formula>
    </cfRule>
  </conditionalFormatting>
  <dataValidations count="29">
    <dataValidation type="decimal" allowBlank="1" showInputMessage="1" showErrorMessage="1" sqref="I5">
      <formula1>-1</formula1>
      <formula2>1</formula2>
    </dataValidation>
    <dataValidation type="decimal" allowBlank="1" showInputMessage="1" showErrorMessage="1" sqref="J40 I4">
      <formula1>0</formula1>
      <formula2>1</formula2>
    </dataValidation>
    <dataValidation type="decimal" operator="greaterThanOrEqual" allowBlank="1" showInputMessage="1" showErrorMessage="1" sqref="J18:J26 J41:J43">
      <formula1>0</formula1>
    </dataValidation>
    <dataValidation type="list" showInputMessage="1" showErrorMessage="1" sqref="I2">
      <formula1>ceny</formula1>
    </dataValidation>
    <dataValidation errorStyle="warning" allowBlank="1" showInputMessage="1" showErrorMessage="1" sqref="C58"/>
    <dataValidation type="decimal" allowBlank="1" showInputMessage="1" showErrorMessage="1" sqref="H40:H42">
      <formula1>0</formula1>
      <formula2>99</formula2>
    </dataValidation>
    <dataValidation type="list" errorStyle="warning" allowBlank="1" showInputMessage="1" showErrorMessage="1" sqref="C26:E26">
      <formula1>farby</formula1>
    </dataValidation>
    <dataValidation type="list" showInputMessage="1" showErrorMessage="1" error="Nie wprowadziłeś żadnej pozycji !" sqref="C22:E22">
      <formula1>tynki</formula1>
    </dataValidation>
    <dataValidation type="list" errorStyle="warning" allowBlank="1" showInputMessage="1" showErrorMessage="1" error="Nie wprowadziłeś żadnej pozycji !" sqref="C23:E23">
      <formula1>dopłaty_tf</formula1>
    </dataValidation>
    <dataValidation type="list" showInputMessage="1" showErrorMessage="1" sqref="C19">
      <formula1>siatki</formula1>
    </dataValidation>
    <dataValidation type="list" errorStyle="warning" showInputMessage="1" showErrorMessage="1" error="aa" sqref="C20:E20">
      <formula1>kleje_2</formula1>
    </dataValidation>
    <dataValidation type="list" allowBlank="1" showInputMessage="1" showErrorMessage="1" sqref="C27:E27">
      <formula1>dopłaty_tf</formula1>
    </dataValidation>
    <dataValidation type="list" allowBlank="1" showInputMessage="1" showErrorMessage="1" sqref="C25:E25">
      <formula1>dopłaty_g</formula1>
    </dataValidation>
    <dataValidation type="list" allowBlank="1" showInputMessage="1" showErrorMessage="1" sqref="C18">
      <formula1>kleje_1</formula1>
    </dataValidation>
    <dataValidation type="decimal" allowBlank="1" showInputMessage="1" showErrorMessage="1" sqref="F33 F43">
      <formula1>0</formula1>
      <formula2>100</formula2>
    </dataValidation>
    <dataValidation type="list" errorStyle="information" allowBlank="1" showInputMessage="1" showErrorMessage="1" error="Uwaga: wełna o tej grubości może być niedostępna" sqref="D14">
      <formula1>izolacja</formula1>
    </dataValidation>
    <dataValidation type="list" showInputMessage="1" showErrorMessage="1" sqref="F13:I13">
      <formula1>ściany</formula1>
    </dataValidation>
    <dataValidation type="list" allowBlank="1" showInputMessage="1" sqref="H8:I8">
      <formula1>data</formula1>
    </dataValidation>
    <dataValidation type="list" showInputMessage="1" showErrorMessage="1" sqref="F12:I12">
      <formula1>budynki</formula1>
    </dataValidation>
    <dataValidation type="whole" operator="greaterThan" allowBlank="1" showInputMessage="1" showErrorMessage="1" sqref="D12:D13">
      <formula1>0</formula1>
    </dataValidation>
    <dataValidation type="list" showInputMessage="1" showErrorMessage="1" sqref="F14:I14">
      <formula1>INDIRECT($M$13)</formula1>
    </dataValidation>
    <dataValidation type="decimal" allowBlank="1" showInputMessage="1" showErrorMessage="1" sqref="H43">
      <formula1>0</formula1>
      <formula2>10</formula2>
    </dataValidation>
    <dataValidation type="list" allowBlank="1" showInputMessage="1" showErrorMessage="1" sqref="F40">
      <formula1>$N$40:$N$42</formula1>
    </dataValidation>
    <dataValidation type="list" allowBlank="1" showInputMessage="1" showErrorMessage="1" sqref="F19">
      <formula1>$N$18:$N$20</formula1>
    </dataValidation>
    <dataValidation type="list" allowBlank="1" showInputMessage="1" showErrorMessage="1" sqref="J37">
      <formula1>"Rabaty,Ceny"</formula1>
    </dataValidation>
    <dataValidation type="list" allowBlank="1" showInputMessage="1" showErrorMessage="1" sqref="L16">
      <formula1>"1,2,3,4"</formula1>
    </dataValidation>
    <dataValidation type="list" allowBlank="1" showInputMessage="1" showErrorMessage="1" sqref="F20">
      <formula1>$N$34:$N$36</formula1>
    </dataValidation>
    <dataValidation type="list" allowBlank="1" showInputMessage="1" showErrorMessage="1" sqref="F18">
      <formula1>$M$34:$M$36</formula1>
    </dataValidation>
    <dataValidation type="list" allowBlank="1" showInputMessage="1" showErrorMessage="1" sqref="I1">
      <formula1>Język</formula1>
    </dataValidation>
  </dataValidations>
  <pageMargins left="0.51181102362204722" right="0.39370078740157483" top="0.39370078740157483" bottom="0.39370078740157483" header="0.51181102362204722" footer="0.51181102362204722"/>
  <pageSetup paperSize="9" orientation="portrait" horizontalDpi="4294967293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S78"/>
  <sheetViews>
    <sheetView workbookViewId="0">
      <selection activeCell="B1" sqref="B1"/>
    </sheetView>
  </sheetViews>
  <sheetFormatPr defaultRowHeight="12.75"/>
  <cols>
    <col min="1" max="1" width="50.140625" customWidth="1"/>
    <col min="2" max="2" width="18.7109375" style="2" customWidth="1"/>
    <col min="3" max="3" width="13.140625" style="1" customWidth="1"/>
    <col min="4" max="4" width="7" style="1" customWidth="1"/>
    <col min="5" max="6" width="9.85546875" hidden="1" customWidth="1"/>
    <col min="7" max="7" width="9.140625" hidden="1" customWidth="1"/>
    <col min="8" max="8" width="34.140625" hidden="1" customWidth="1"/>
    <col min="9" max="9" width="13.28515625" hidden="1" customWidth="1"/>
    <col min="10" max="10" width="9.85546875" hidden="1" customWidth="1"/>
    <col min="11" max="11" width="8.140625" hidden="1" customWidth="1"/>
    <col min="12" max="12" width="10.140625" bestFit="1" customWidth="1"/>
    <col min="13" max="13" width="13.140625" bestFit="1" customWidth="1"/>
    <col min="14" max="17" width="12.5703125" customWidth="1"/>
    <col min="18" max="18" width="9.140625" hidden="1" customWidth="1"/>
    <col min="19" max="19" width="9.85546875" hidden="1" customWidth="1"/>
  </cols>
  <sheetData>
    <row r="1" spans="1:19" ht="19.5" customHeight="1">
      <c r="A1" s="241" t="str">
        <f>Kalkulator!B69</f>
        <v>Cennik:</v>
      </c>
      <c r="B1" s="242" t="s">
        <v>596</v>
      </c>
      <c r="C1" s="241" t="str">
        <f>Kalkulator!B74</f>
        <v>VAT (PL):</v>
      </c>
      <c r="D1" s="243">
        <v>0.23</v>
      </c>
      <c r="E1" s="244" t="b">
        <f>NOT(Kalkulator!N2)</f>
        <v>0</v>
      </c>
    </row>
    <row r="3" spans="1:19" ht="12.75" customHeight="1">
      <c r="A3" s="438" t="str">
        <f>Kalkulator!B175</f>
        <v>Nazwa produktu ALPOL</v>
      </c>
      <c r="B3" s="184" t="str">
        <f>Kalkulator!B212</f>
        <v>Ceny netto</v>
      </c>
      <c r="C3" s="440" t="str">
        <f>Kalkulator!B205</f>
        <v>Opakowanie</v>
      </c>
      <c r="D3" s="442" t="str">
        <f>Kalkulator!B120</f>
        <v>Jedn.</v>
      </c>
      <c r="E3" s="91" t="s">
        <v>2</v>
      </c>
      <c r="F3" s="91" t="s">
        <v>2</v>
      </c>
      <c r="G3" s="91" t="s">
        <v>0</v>
      </c>
      <c r="H3" s="91"/>
      <c r="I3" s="247"/>
      <c r="J3" s="246"/>
      <c r="K3" s="246"/>
      <c r="L3" s="233"/>
      <c r="M3" s="195" t="str">
        <f>Kalkulator!B152</f>
        <v>grubości</v>
      </c>
      <c r="N3" s="434" t="str">
        <f>CONCATENATE(Kalkulator!B212," Rockwool [",LEFT(Kalkulator!B75,4),"/m2]")</f>
        <v>Ceny netto Rockwool [Ceny/m2]</v>
      </c>
      <c r="O3" s="435"/>
      <c r="P3" s="436"/>
      <c r="Q3" s="437"/>
      <c r="R3" s="90" t="s">
        <v>43</v>
      </c>
      <c r="S3" s="90" t="s">
        <v>44</v>
      </c>
    </row>
    <row r="4" spans="1:19">
      <c r="A4" s="439"/>
      <c r="B4" s="185" t="s">
        <v>608</v>
      </c>
      <c r="C4" s="441"/>
      <c r="D4" s="443"/>
      <c r="E4" s="92" t="s">
        <v>1</v>
      </c>
      <c r="F4" s="92" t="s">
        <v>28</v>
      </c>
      <c r="G4" s="92" t="s">
        <v>1</v>
      </c>
      <c r="H4" s="146"/>
      <c r="I4" s="146"/>
      <c r="J4" s="246"/>
      <c r="K4" s="246"/>
      <c r="L4" s="233"/>
      <c r="M4" s="196" t="s">
        <v>35</v>
      </c>
      <c r="N4" s="197" t="s">
        <v>33</v>
      </c>
      <c r="O4" s="197" t="s">
        <v>177</v>
      </c>
      <c r="P4" s="198" t="s">
        <v>175</v>
      </c>
      <c r="Q4" s="198" t="s">
        <v>34</v>
      </c>
      <c r="R4" s="123">
        <v>7</v>
      </c>
      <c r="S4" s="123">
        <v>8</v>
      </c>
    </row>
    <row r="5" spans="1:19" ht="12.75" hidden="1" customHeight="1">
      <c r="A5" s="152" t="str">
        <f>Kalkulator!B176</f>
        <v>- bez farby</v>
      </c>
      <c r="B5" s="153">
        <v>0</v>
      </c>
      <c r="C5" s="154">
        <v>0</v>
      </c>
      <c r="D5" s="155"/>
      <c r="E5" s="57">
        <v>0</v>
      </c>
      <c r="F5" s="57">
        <f>E5*(1-Kalkulator!I$4)*(1+Kalkulator!I$5)</f>
        <v>0</v>
      </c>
      <c r="G5" s="57">
        <v>0</v>
      </c>
      <c r="H5" s="146"/>
      <c r="I5" s="146"/>
      <c r="J5" s="246"/>
      <c r="K5" s="246"/>
      <c r="L5" s="85"/>
      <c r="M5" s="199"/>
      <c r="N5" s="200">
        <v>2</v>
      </c>
      <c r="O5" s="200"/>
      <c r="P5" s="200">
        <v>3</v>
      </c>
      <c r="Q5" s="200">
        <v>5</v>
      </c>
      <c r="R5" s="124"/>
      <c r="S5" s="124"/>
    </row>
    <row r="6" spans="1:19" ht="12.75" customHeight="1">
      <c r="A6" s="186" t="str">
        <f>Kalkulator!B177</f>
        <v>AF 660 - Farba elewacyjna silikatowa x 2</v>
      </c>
      <c r="B6" s="201">
        <v>185</v>
      </c>
      <c r="C6" s="211">
        <v>10</v>
      </c>
      <c r="D6" s="191" t="s">
        <v>5</v>
      </c>
      <c r="E6" s="103">
        <f t="shared" ref="E6:E12" si="0">B6/C6</f>
        <v>18.5</v>
      </c>
      <c r="F6" s="57">
        <f>E6*(1-Kalkulator!I$4)*(1+Kalkulator!I$5)</f>
        <v>18.5</v>
      </c>
      <c r="G6" s="103">
        <v>0.33</v>
      </c>
      <c r="H6" s="146"/>
      <c r="I6" s="146"/>
      <c r="J6" s="246"/>
      <c r="K6" s="246"/>
      <c r="L6" s="85"/>
      <c r="M6" s="156">
        <v>2</v>
      </c>
      <c r="N6" s="194"/>
      <c r="O6" s="194"/>
      <c r="P6" s="194"/>
      <c r="Q6" s="194">
        <v>12.75</v>
      </c>
      <c r="R6" s="126">
        <v>1</v>
      </c>
      <c r="S6" s="126">
        <v>1</v>
      </c>
    </row>
    <row r="7" spans="1:19">
      <c r="A7" s="187" t="str">
        <f>Kalkulator!B178</f>
        <v>AF 680 - Farba elewacyjna silikonowa x 2</v>
      </c>
      <c r="B7" s="202">
        <v>230</v>
      </c>
      <c r="C7" s="212">
        <v>10</v>
      </c>
      <c r="D7" s="192" t="s">
        <v>5</v>
      </c>
      <c r="E7" s="103">
        <f t="shared" si="0"/>
        <v>23</v>
      </c>
      <c r="F7" s="57">
        <f>E7*(1-Kalkulator!I$4)*(1+Kalkulator!I$5)</f>
        <v>23</v>
      </c>
      <c r="G7" s="103">
        <v>0.33</v>
      </c>
      <c r="H7" s="146"/>
      <c r="I7" s="147" t="s">
        <v>26</v>
      </c>
      <c r="J7" s="246"/>
      <c r="K7" s="246"/>
      <c r="L7" s="85"/>
      <c r="M7" s="157">
        <v>3</v>
      </c>
      <c r="N7" s="194"/>
      <c r="O7" s="194"/>
      <c r="P7" s="194"/>
      <c r="Q7" s="194">
        <v>18.809999999999999</v>
      </c>
      <c r="R7" s="126">
        <v>1</v>
      </c>
      <c r="S7" s="126">
        <v>1</v>
      </c>
    </row>
    <row r="8" spans="1:19">
      <c r="A8" s="187" t="str">
        <f>Kalkulator!B179</f>
        <v>AG 701 - Grunt pod tynki mineralne</v>
      </c>
      <c r="B8" s="202">
        <v>90</v>
      </c>
      <c r="C8" s="212">
        <v>15</v>
      </c>
      <c r="D8" s="192" t="s">
        <v>4</v>
      </c>
      <c r="E8" s="103">
        <f t="shared" si="0"/>
        <v>6</v>
      </c>
      <c r="F8" s="57">
        <f>E8*(1-Kalkulator!I$4)*(1+Kalkulator!I$5)</f>
        <v>6</v>
      </c>
      <c r="G8" s="103">
        <v>0.3</v>
      </c>
      <c r="H8" s="146"/>
      <c r="I8" s="148" t="s">
        <v>27</v>
      </c>
      <c r="J8" s="246"/>
      <c r="K8" s="246"/>
      <c r="L8" s="85"/>
      <c r="M8" s="157">
        <v>4</v>
      </c>
      <c r="N8" s="194"/>
      <c r="O8" s="194"/>
      <c r="P8" s="194"/>
      <c r="Q8" s="194">
        <v>24.31</v>
      </c>
      <c r="R8" s="126">
        <v>1</v>
      </c>
      <c r="S8" s="126">
        <v>1</v>
      </c>
    </row>
    <row r="9" spans="1:19">
      <c r="A9" s="187" t="str">
        <f>Kalkulator!B180</f>
        <v>AG 706 - Grunt pod tynki krzemianowe</v>
      </c>
      <c r="B9" s="202">
        <v>87.23</v>
      </c>
      <c r="C9" s="212">
        <v>13</v>
      </c>
      <c r="D9" s="192" t="s">
        <v>4</v>
      </c>
      <c r="E9" s="103">
        <f t="shared" si="0"/>
        <v>6.71</v>
      </c>
      <c r="F9" s="57">
        <f>E9*(1-Kalkulator!I$4)*(1+Kalkulator!I$5)</f>
        <v>6.71</v>
      </c>
      <c r="G9" s="103">
        <v>0.25</v>
      </c>
      <c r="H9" s="146"/>
      <c r="I9" s="148" t="s">
        <v>23</v>
      </c>
      <c r="J9" s="246"/>
      <c r="K9" s="246"/>
      <c r="L9" s="85"/>
      <c r="M9" s="157">
        <v>5</v>
      </c>
      <c r="N9" s="194">
        <v>14.55</v>
      </c>
      <c r="O9" s="194">
        <v>14.55</v>
      </c>
      <c r="P9" s="194"/>
      <c r="Q9" s="194">
        <v>24.75</v>
      </c>
      <c r="R9" s="126">
        <v>1</v>
      </c>
      <c r="S9" s="126">
        <v>1</v>
      </c>
    </row>
    <row r="10" spans="1:19">
      <c r="A10" s="187" t="str">
        <f>Kalkulator!B181</f>
        <v>AK 531- Klej do ociepleń BIAŁY</v>
      </c>
      <c r="B10" s="202">
        <v>38.75</v>
      </c>
      <c r="C10" s="212">
        <v>25</v>
      </c>
      <c r="D10" s="192" t="s">
        <v>4</v>
      </c>
      <c r="E10" s="103">
        <f t="shared" si="0"/>
        <v>1.55</v>
      </c>
      <c r="F10" s="57">
        <f>E10*(1-Kalkulator!I$4)*(1+Kalkulator!I$5)</f>
        <v>1.55</v>
      </c>
      <c r="G10" s="103">
        <v>6</v>
      </c>
      <c r="H10" s="146"/>
      <c r="I10" s="148"/>
      <c r="J10" s="246"/>
      <c r="K10" s="246"/>
      <c r="L10" s="85"/>
      <c r="M10" s="157">
        <v>8</v>
      </c>
      <c r="N10" s="194">
        <v>22.34</v>
      </c>
      <c r="O10" s="194">
        <v>22.34</v>
      </c>
      <c r="P10" s="194">
        <v>24.12</v>
      </c>
      <c r="Q10" s="194">
        <v>36.76</v>
      </c>
      <c r="R10" s="126">
        <v>1</v>
      </c>
      <c r="S10" s="126">
        <v>1</v>
      </c>
    </row>
    <row r="11" spans="1:19">
      <c r="A11" s="187" t="str">
        <f>Kalkulator!B182</f>
        <v>AK 533 - Klej do ociepleń na wełnie mineralnej</v>
      </c>
      <c r="B11" s="202">
        <v>35</v>
      </c>
      <c r="C11" s="212">
        <v>25</v>
      </c>
      <c r="D11" s="192" t="s">
        <v>4</v>
      </c>
      <c r="E11" s="103">
        <f t="shared" si="0"/>
        <v>1.4</v>
      </c>
      <c r="F11" s="57">
        <f>E11*(1-Kalkulator!I$4)*(1+Kalkulator!I$5)</f>
        <v>1.4</v>
      </c>
      <c r="G11" s="103">
        <v>6</v>
      </c>
      <c r="H11" s="146"/>
      <c r="I11" s="148" t="s">
        <v>24</v>
      </c>
      <c r="J11" s="246"/>
      <c r="K11" s="246"/>
      <c r="L11" s="85"/>
      <c r="M11" s="157">
        <v>10</v>
      </c>
      <c r="N11" s="194">
        <v>26.73</v>
      </c>
      <c r="O11" s="194">
        <v>26.73</v>
      </c>
      <c r="P11" s="194">
        <v>28.87</v>
      </c>
      <c r="Q11" s="194">
        <v>44.53</v>
      </c>
      <c r="R11" s="126">
        <v>1</v>
      </c>
      <c r="S11" s="126">
        <v>1</v>
      </c>
    </row>
    <row r="12" spans="1:19">
      <c r="A12" s="187" t="str">
        <f>Kalkulator!B183</f>
        <v>AK 534 - Klej do ociepleń ZIMOWY</v>
      </c>
      <c r="B12" s="202">
        <v>42.5</v>
      </c>
      <c r="C12" s="212">
        <v>25</v>
      </c>
      <c r="D12" s="192" t="s">
        <v>4</v>
      </c>
      <c r="E12" s="103">
        <f t="shared" si="0"/>
        <v>1.7</v>
      </c>
      <c r="F12" s="57">
        <f>E12*(1-Kalkulator!I$4)*(1+Kalkulator!I$5)</f>
        <v>1.7</v>
      </c>
      <c r="G12" s="103">
        <v>6</v>
      </c>
      <c r="H12" s="92" t="s">
        <v>63</v>
      </c>
      <c r="I12" s="92" t="s">
        <v>25</v>
      </c>
      <c r="J12" s="246"/>
      <c r="K12" s="246"/>
      <c r="L12" s="85"/>
      <c r="M12" s="157">
        <v>12</v>
      </c>
      <c r="N12" s="194">
        <v>30</v>
      </c>
      <c r="O12" s="194">
        <v>30</v>
      </c>
      <c r="P12" s="194">
        <v>33.86</v>
      </c>
      <c r="Q12" s="194">
        <v>52.6</v>
      </c>
      <c r="R12" s="126">
        <v>1</v>
      </c>
      <c r="S12" s="126">
        <v>1</v>
      </c>
    </row>
    <row r="13" spans="1:19" ht="12.75" hidden="1" customHeight="1">
      <c r="A13" s="188" t="str">
        <f>Kalkulator!B184</f>
        <v>- bez tynku dekoracyjnego (w systemie garażowym)</v>
      </c>
      <c r="B13" s="202">
        <v>0</v>
      </c>
      <c r="C13" s="212"/>
      <c r="D13" s="192"/>
      <c r="E13" s="103">
        <v>0</v>
      </c>
      <c r="F13" s="57">
        <f>E13*(1-Kalkulator!I$4)*(1+Kalkulator!I$5)</f>
        <v>0</v>
      </c>
      <c r="G13" s="103">
        <v>0</v>
      </c>
      <c r="H13" s="103"/>
      <c r="I13" s="103">
        <v>0.9</v>
      </c>
      <c r="J13" s="246"/>
      <c r="K13" s="246"/>
      <c r="L13" s="85"/>
      <c r="M13" s="157">
        <v>14</v>
      </c>
      <c r="N13" s="194">
        <v>36.6</v>
      </c>
      <c r="O13" s="194">
        <v>36.6</v>
      </c>
      <c r="P13" s="194"/>
      <c r="Q13" s="194"/>
      <c r="R13" s="126">
        <v>1</v>
      </c>
      <c r="S13" s="126">
        <v>1</v>
      </c>
    </row>
    <row r="14" spans="1:19">
      <c r="A14" s="187" t="str">
        <f>Kalkulator!B185</f>
        <v>AT 320 - Tynk mineralny biały baranek 2 mm</v>
      </c>
      <c r="B14" s="202">
        <v>47.75</v>
      </c>
      <c r="C14" s="212">
        <v>25</v>
      </c>
      <c r="D14" s="192" t="s">
        <v>4</v>
      </c>
      <c r="E14" s="103">
        <f t="shared" ref="E14:E31" si="1">B14/C14</f>
        <v>1.91</v>
      </c>
      <c r="F14" s="57">
        <f>E14*(1-Kalkulator!I$4)*(1+Kalkulator!I$5)</f>
        <v>1.91</v>
      </c>
      <c r="G14" s="103">
        <v>2.5</v>
      </c>
      <c r="H14" s="103" t="str">
        <f>A$8</f>
        <v>AG 701 - Grunt pod tynki mineralne</v>
      </c>
      <c r="I14" s="103">
        <v>0.95</v>
      </c>
      <c r="J14" s="246"/>
      <c r="K14" s="246"/>
      <c r="M14" s="157">
        <v>14</v>
      </c>
      <c r="N14" s="194">
        <v>38.25</v>
      </c>
      <c r="O14" s="194">
        <v>38.25</v>
      </c>
      <c r="P14" s="194"/>
      <c r="Q14" s="194"/>
      <c r="R14" s="126">
        <v>1</v>
      </c>
      <c r="S14" s="126">
        <v>1</v>
      </c>
    </row>
    <row r="15" spans="1:19">
      <c r="A15" s="187" t="str">
        <f>Kalkulator!B186</f>
        <v>AT 321 - Tynk mineralny biały kornik 2 mm</v>
      </c>
      <c r="B15" s="202">
        <v>47.75</v>
      </c>
      <c r="C15" s="212">
        <v>25</v>
      </c>
      <c r="D15" s="192" t="s">
        <v>4</v>
      </c>
      <c r="E15" s="103">
        <f t="shared" si="1"/>
        <v>1.91</v>
      </c>
      <c r="F15" s="57">
        <f>E15*(1-Kalkulator!I$4)*(1+Kalkulator!I$5)</f>
        <v>1.91</v>
      </c>
      <c r="G15" s="103">
        <v>3</v>
      </c>
      <c r="H15" s="103" t="str">
        <f t="shared" ref="H15:H24" si="2">A$8</f>
        <v>AG 701 - Grunt pod tynki mineralne</v>
      </c>
      <c r="I15" s="103">
        <v>1</v>
      </c>
      <c r="J15" s="246"/>
      <c r="K15" s="246"/>
      <c r="M15" s="157">
        <v>15</v>
      </c>
      <c r="N15" s="194">
        <v>40.090000000000003</v>
      </c>
      <c r="O15" s="194">
        <v>40.090000000000003</v>
      </c>
      <c r="P15" s="194">
        <v>43.3</v>
      </c>
      <c r="Q15" s="194">
        <v>67.87</v>
      </c>
      <c r="R15" s="126">
        <v>1</v>
      </c>
      <c r="S15" s="126">
        <v>1</v>
      </c>
    </row>
    <row r="16" spans="1:19">
      <c r="A16" s="187" t="str">
        <f>Kalkulator!B187</f>
        <v>AT 322 - Tynk mineralny biały kornik 3 mm</v>
      </c>
      <c r="B16" s="202">
        <v>47.75</v>
      </c>
      <c r="C16" s="212">
        <v>25</v>
      </c>
      <c r="D16" s="192" t="s">
        <v>4</v>
      </c>
      <c r="E16" s="103">
        <f t="shared" si="1"/>
        <v>1.91</v>
      </c>
      <c r="F16" s="57">
        <f>E16*(1-Kalkulator!I$4)*(1+Kalkulator!I$5)</f>
        <v>1.91</v>
      </c>
      <c r="G16" s="103">
        <v>4</v>
      </c>
      <c r="H16" s="103" t="str">
        <f t="shared" si="2"/>
        <v>AG 701 - Grunt pod tynki mineralne</v>
      </c>
      <c r="I16" s="103">
        <v>1.1000000000000001</v>
      </c>
      <c r="J16" s="246"/>
      <c r="K16" s="246"/>
      <c r="M16" s="157">
        <v>16</v>
      </c>
      <c r="N16" s="194">
        <v>44.6</v>
      </c>
      <c r="O16" s="194">
        <v>44.6</v>
      </c>
      <c r="P16" s="194">
        <v>48.24</v>
      </c>
      <c r="Q16" s="194"/>
      <c r="R16" s="126">
        <v>1</v>
      </c>
      <c r="S16" s="126">
        <v>1</v>
      </c>
    </row>
    <row r="17" spans="1:19">
      <c r="A17" s="187" t="str">
        <f>Kalkulator!B188</f>
        <v>AT 325 - Tynk mineralny extra, biały baranek 1,5 mm</v>
      </c>
      <c r="B17" s="202">
        <v>53.75</v>
      </c>
      <c r="C17" s="212">
        <v>25</v>
      </c>
      <c r="D17" s="192" t="s">
        <v>4</v>
      </c>
      <c r="E17" s="103">
        <f t="shared" si="1"/>
        <v>2.15</v>
      </c>
      <c r="F17" s="57">
        <f>E17*(1-Kalkulator!I$4)*(1+Kalkulator!I$5)</f>
        <v>2.15</v>
      </c>
      <c r="G17" s="103">
        <v>2</v>
      </c>
      <c r="H17" s="103" t="str">
        <f t="shared" si="2"/>
        <v>AG 701 - Grunt pod tynki mineralne</v>
      </c>
      <c r="I17" s="103">
        <v>0.95</v>
      </c>
      <c r="J17" s="246"/>
      <c r="K17" s="246"/>
      <c r="M17" s="157">
        <v>18</v>
      </c>
      <c r="N17" s="194">
        <v>50.25</v>
      </c>
      <c r="O17" s="194">
        <v>50.25</v>
      </c>
      <c r="P17" s="194">
        <v>54.27</v>
      </c>
      <c r="Q17" s="194">
        <v>83.73</v>
      </c>
      <c r="R17" s="126">
        <v>1</v>
      </c>
      <c r="S17" s="126">
        <v>1</v>
      </c>
    </row>
    <row r="18" spans="1:19">
      <c r="A18" s="187" t="str">
        <f>Kalkulator!B189</f>
        <v>AT 326 - Tynk mineralny extra, biały baranek 2 mm</v>
      </c>
      <c r="B18" s="202">
        <v>53.75</v>
      </c>
      <c r="C18" s="212">
        <v>25</v>
      </c>
      <c r="D18" s="192" t="s">
        <v>4</v>
      </c>
      <c r="E18" s="103">
        <f t="shared" si="1"/>
        <v>2.15</v>
      </c>
      <c r="F18" s="57">
        <f>E18*(1-Kalkulator!I$4)*(1+Kalkulator!I$5)</f>
        <v>2.15</v>
      </c>
      <c r="G18" s="103">
        <v>3</v>
      </c>
      <c r="H18" s="103" t="str">
        <f t="shared" si="2"/>
        <v>AG 701 - Grunt pod tynki mineralne</v>
      </c>
      <c r="I18" s="103">
        <v>1</v>
      </c>
      <c r="J18" s="246"/>
      <c r="K18" s="246"/>
      <c r="M18" s="157">
        <v>20</v>
      </c>
      <c r="N18" s="194">
        <v>54.65</v>
      </c>
      <c r="O18" s="194">
        <v>54.65</v>
      </c>
      <c r="P18" s="194">
        <v>59.02</v>
      </c>
      <c r="Q18" s="194"/>
    </row>
    <row r="19" spans="1:19">
      <c r="A19" s="187" t="str">
        <f>Kalkulator!B190</f>
        <v>AT 327 - Tynk mineralny extra, biały baranek 2,5 mm</v>
      </c>
      <c r="B19" s="202">
        <v>53.75</v>
      </c>
      <c r="C19" s="212">
        <v>25</v>
      </c>
      <c r="D19" s="192" t="s">
        <v>4</v>
      </c>
      <c r="E19" s="103">
        <f t="shared" si="1"/>
        <v>2.15</v>
      </c>
      <c r="F19" s="57">
        <f>E19*(1-Kalkulator!I$4)*(1+Kalkulator!I$5)</f>
        <v>2.15</v>
      </c>
      <c r="G19" s="103">
        <v>3.5</v>
      </c>
      <c r="H19" s="103" t="str">
        <f t="shared" si="2"/>
        <v>AG 701 - Grunt pod tynki mineralne</v>
      </c>
      <c r="I19" s="103">
        <v>1.05</v>
      </c>
      <c r="J19" s="246"/>
      <c r="K19" s="246"/>
    </row>
    <row r="20" spans="1:19">
      <c r="A20" s="187" t="str">
        <f>Kalkulator!B191</f>
        <v>AT 330 - Tynk mineralny szary baranek 2 mm</v>
      </c>
      <c r="B20" s="202">
        <v>32</v>
      </c>
      <c r="C20" s="212">
        <v>25</v>
      </c>
      <c r="D20" s="192" t="s">
        <v>4</v>
      </c>
      <c r="E20" s="103">
        <f t="shared" si="1"/>
        <v>1.28</v>
      </c>
      <c r="F20" s="57">
        <f>E20*(1-Kalkulator!I$4)*(1+Kalkulator!I$5)</f>
        <v>1.28</v>
      </c>
      <c r="G20" s="103">
        <v>2.5</v>
      </c>
      <c r="H20" s="103" t="str">
        <f t="shared" si="2"/>
        <v>AG 701 - Grunt pod tynki mineralne</v>
      </c>
      <c r="I20" s="103">
        <v>0.95</v>
      </c>
      <c r="J20" s="246"/>
      <c r="K20" s="246"/>
    </row>
    <row r="21" spans="1:19">
      <c r="A21" s="187" t="str">
        <f>Kalkulator!B192</f>
        <v>AT 331 - Tynk mineralny szary kornik 2 mm</v>
      </c>
      <c r="B21" s="202">
        <v>32</v>
      </c>
      <c r="C21" s="212">
        <v>25</v>
      </c>
      <c r="D21" s="192" t="s">
        <v>4</v>
      </c>
      <c r="E21" s="103">
        <f t="shared" si="1"/>
        <v>1.28</v>
      </c>
      <c r="F21" s="57">
        <f>E21*(1-Kalkulator!I$4)*(1+Kalkulator!I$5)</f>
        <v>1.28</v>
      </c>
      <c r="G21" s="103">
        <v>3</v>
      </c>
      <c r="H21" s="103" t="str">
        <f t="shared" si="2"/>
        <v>AG 701 - Grunt pod tynki mineralne</v>
      </c>
      <c r="I21" s="103">
        <v>1</v>
      </c>
      <c r="J21" s="246"/>
      <c r="K21" s="246"/>
    </row>
    <row r="22" spans="1:19">
      <c r="A22" s="187" t="str">
        <f>Kalkulator!B193</f>
        <v>AT 332 - Tynk mineralny szary kornik 3 mm</v>
      </c>
      <c r="B22" s="202">
        <v>32</v>
      </c>
      <c r="C22" s="212">
        <v>25</v>
      </c>
      <c r="D22" s="192" t="s">
        <v>4</v>
      </c>
      <c r="E22" s="103">
        <f t="shared" si="1"/>
        <v>1.28</v>
      </c>
      <c r="F22" s="57">
        <f>E22*(1-Kalkulator!I$4)*(1+Kalkulator!I$5)</f>
        <v>1.28</v>
      </c>
      <c r="G22" s="103">
        <v>4</v>
      </c>
      <c r="H22" s="103" t="str">
        <f t="shared" si="2"/>
        <v>AG 701 - Grunt pod tynki mineralne</v>
      </c>
      <c r="I22" s="103">
        <v>1.1000000000000001</v>
      </c>
      <c r="J22" s="246"/>
      <c r="K22" s="246"/>
    </row>
    <row r="23" spans="1:19">
      <c r="A23" s="187" t="str">
        <f>Kalkulator!B194</f>
        <v>AT 336 - Tynk mineralny extra, szary baranek 2 mm</v>
      </c>
      <c r="B23" s="202">
        <v>38</v>
      </c>
      <c r="C23" s="212">
        <v>25</v>
      </c>
      <c r="D23" s="192" t="s">
        <v>4</v>
      </c>
      <c r="E23" s="103">
        <f t="shared" si="1"/>
        <v>1.52</v>
      </c>
      <c r="F23" s="57">
        <f>E23*(1-Kalkulator!I$4)*(1+Kalkulator!I$5)</f>
        <v>1.52</v>
      </c>
      <c r="G23" s="103">
        <v>3</v>
      </c>
      <c r="H23" s="103" t="str">
        <f t="shared" si="2"/>
        <v>AG 701 - Grunt pod tynki mineralne</v>
      </c>
      <c r="I23" s="103">
        <v>1</v>
      </c>
      <c r="J23" s="246"/>
      <c r="K23" s="246"/>
    </row>
    <row r="24" spans="1:19">
      <c r="A24" s="187" t="str">
        <f>Kalkulator!B195</f>
        <v>AT 338 - Tynk mineralny extra, szary baranek 3 mm</v>
      </c>
      <c r="B24" s="202">
        <v>38</v>
      </c>
      <c r="C24" s="212">
        <v>25</v>
      </c>
      <c r="D24" s="192" t="s">
        <v>4</v>
      </c>
      <c r="E24" s="103">
        <f t="shared" si="1"/>
        <v>1.52</v>
      </c>
      <c r="F24" s="57">
        <f>E24*(1-Kalkulator!I$4)*(1+Kalkulator!I$5)</f>
        <v>1.52</v>
      </c>
      <c r="G24" s="103">
        <v>4</v>
      </c>
      <c r="H24" s="103" t="str">
        <f t="shared" si="2"/>
        <v>AG 701 - Grunt pod tynki mineralne</v>
      </c>
      <c r="I24" s="103">
        <v>1.1000000000000001</v>
      </c>
      <c r="J24" s="246"/>
      <c r="K24" s="246"/>
    </row>
    <row r="25" spans="1:19">
      <c r="A25" s="187" t="str">
        <f>Kalkulator!B196</f>
        <v>AT 370 - Tynk silikatowo-silikonowy baranek 1 mm</v>
      </c>
      <c r="B25" s="202">
        <v>182.75</v>
      </c>
      <c r="C25" s="212">
        <v>25</v>
      </c>
      <c r="D25" s="192" t="s">
        <v>4</v>
      </c>
      <c r="E25" s="103">
        <f t="shared" si="1"/>
        <v>7.31</v>
      </c>
      <c r="F25" s="57">
        <f>E25*(1-Kalkulator!I$4)*(1+Kalkulator!I$5)</f>
        <v>7.31</v>
      </c>
      <c r="G25" s="103">
        <v>1.7</v>
      </c>
      <c r="H25" s="103" t="str">
        <f t="shared" ref="H25:H30" si="3">A$9</f>
        <v>AG 706 - Grunt pod tynki krzemianowe</v>
      </c>
      <c r="I25" s="103">
        <v>0</v>
      </c>
      <c r="J25" s="246"/>
      <c r="K25" s="246"/>
    </row>
    <row r="26" spans="1:19">
      <c r="A26" s="187" t="str">
        <f>Kalkulator!B197</f>
        <v>AT 371 - Tynk silikatowo-silikonowy baranek 1,5 mm</v>
      </c>
      <c r="B26" s="202">
        <v>182.75</v>
      </c>
      <c r="C26" s="212">
        <v>25</v>
      </c>
      <c r="D26" s="192" t="s">
        <v>4</v>
      </c>
      <c r="E26" s="103">
        <f t="shared" si="1"/>
        <v>7.31</v>
      </c>
      <c r="F26" s="57">
        <f>E26*(1-Kalkulator!I$4)*(1+Kalkulator!I$5)</f>
        <v>7.31</v>
      </c>
      <c r="G26" s="103">
        <v>2.2999999999999998</v>
      </c>
      <c r="H26" s="103" t="str">
        <f t="shared" si="3"/>
        <v>AG 706 - Grunt pod tynki krzemianowe</v>
      </c>
      <c r="I26" s="103">
        <v>0</v>
      </c>
      <c r="J26" s="246"/>
      <c r="K26" s="246"/>
    </row>
    <row r="27" spans="1:19">
      <c r="A27" s="187" t="str">
        <f>Kalkulator!B198</f>
        <v>AT 372 - Tynk silikatowo-silikonowy baranek 2 mm</v>
      </c>
      <c r="B27" s="202">
        <v>182.75</v>
      </c>
      <c r="C27" s="212">
        <v>25</v>
      </c>
      <c r="D27" s="192" t="s">
        <v>4</v>
      </c>
      <c r="E27" s="103">
        <f t="shared" si="1"/>
        <v>7.31</v>
      </c>
      <c r="F27" s="57">
        <f>E27*(1-Kalkulator!I$4)*(1+Kalkulator!I$5)</f>
        <v>7.31</v>
      </c>
      <c r="G27" s="103">
        <v>3</v>
      </c>
      <c r="H27" s="103" t="str">
        <f t="shared" si="3"/>
        <v>AG 706 - Grunt pod tynki krzemianowe</v>
      </c>
      <c r="I27" s="103">
        <v>0</v>
      </c>
      <c r="J27" s="246"/>
      <c r="K27" s="246"/>
    </row>
    <row r="28" spans="1:19">
      <c r="A28" s="187" t="str">
        <f>Kalkulator!B199</f>
        <v>AT 376 - Tynk silikatowo-silikonowy kornik 1,5 mm</v>
      </c>
      <c r="B28" s="202">
        <v>182.75</v>
      </c>
      <c r="C28" s="212">
        <v>25</v>
      </c>
      <c r="D28" s="192" t="s">
        <v>4</v>
      </c>
      <c r="E28" s="103">
        <f t="shared" si="1"/>
        <v>7.31</v>
      </c>
      <c r="F28" s="57">
        <f>E28*(1-Kalkulator!I$4)*(1+Kalkulator!I$5)</f>
        <v>7.31</v>
      </c>
      <c r="G28" s="103">
        <v>1.7</v>
      </c>
      <c r="H28" s="103" t="str">
        <f t="shared" si="3"/>
        <v>AG 706 - Grunt pod tynki krzemianowe</v>
      </c>
      <c r="I28" s="103">
        <v>0</v>
      </c>
      <c r="J28" s="246"/>
      <c r="K28" s="246"/>
    </row>
    <row r="29" spans="1:19">
      <c r="A29" s="187" t="str">
        <f>Kalkulator!B200</f>
        <v>AT 377 - Tynk silikatowo-silikonowy kornik 2 mm</v>
      </c>
      <c r="B29" s="202">
        <v>182.75</v>
      </c>
      <c r="C29" s="212">
        <v>25</v>
      </c>
      <c r="D29" s="192" t="s">
        <v>4</v>
      </c>
      <c r="E29" s="103">
        <f t="shared" si="1"/>
        <v>7.31</v>
      </c>
      <c r="F29" s="57">
        <f>E29*(1-Kalkulator!I$4)*(1+Kalkulator!I$5)</f>
        <v>7.31</v>
      </c>
      <c r="G29" s="103">
        <v>2.5</v>
      </c>
      <c r="H29" s="103" t="str">
        <f t="shared" si="3"/>
        <v>AG 706 - Grunt pod tynki krzemianowe</v>
      </c>
      <c r="I29" s="103">
        <v>0</v>
      </c>
      <c r="J29" s="246"/>
      <c r="K29" s="246"/>
    </row>
    <row r="30" spans="1:19">
      <c r="A30" s="187" t="str">
        <f>Kalkulator!B201</f>
        <v>AT 378 - Tynk silikatowo-silikonowy kornik 2,5 mm</v>
      </c>
      <c r="B30" s="202">
        <v>182.75</v>
      </c>
      <c r="C30" s="212">
        <v>25</v>
      </c>
      <c r="D30" s="192" t="s">
        <v>4</v>
      </c>
      <c r="E30" s="103">
        <f t="shared" si="1"/>
        <v>7.31</v>
      </c>
      <c r="F30" s="57">
        <f>E30*(1-Kalkulator!I$4)*(1+Kalkulator!I$5)</f>
        <v>7.31</v>
      </c>
      <c r="G30" s="103">
        <v>3.6</v>
      </c>
      <c r="H30" s="103" t="str">
        <f t="shared" si="3"/>
        <v>AG 706 - Grunt pod tynki krzemianowe</v>
      </c>
      <c r="I30" s="103">
        <v>0</v>
      </c>
      <c r="J30" s="246"/>
      <c r="K30" s="246"/>
      <c r="L30" s="86"/>
    </row>
    <row r="31" spans="1:19">
      <c r="A31" s="187" t="str">
        <f>Kalkulator!B202</f>
        <v>ALPOL 145 - siatka z włókna szklanego</v>
      </c>
      <c r="B31" s="202">
        <v>175</v>
      </c>
      <c r="C31" s="212">
        <v>50</v>
      </c>
      <c r="D31" s="192" t="s">
        <v>3</v>
      </c>
      <c r="E31" s="103">
        <f t="shared" si="1"/>
        <v>3.5</v>
      </c>
      <c r="F31" s="57">
        <f>E31*(1-Kalkulator!I$4)*(1+Kalkulator!I$5)</f>
        <v>3.5</v>
      </c>
      <c r="G31" s="103">
        <v>1.1000000000000001</v>
      </c>
      <c r="H31" s="103"/>
      <c r="I31" s="103"/>
      <c r="J31" s="246"/>
      <c r="K31" s="246"/>
      <c r="L31" s="86"/>
    </row>
    <row r="32" spans="1:19">
      <c r="A32" s="189" t="str">
        <f>Kalkulator!B203</f>
        <v>VERTEX AKE 145A - siatka z włókna szklanego</v>
      </c>
      <c r="B32" s="203">
        <v>247.5</v>
      </c>
      <c r="C32" s="213">
        <v>55</v>
      </c>
      <c r="D32" s="193" t="s">
        <v>3</v>
      </c>
      <c r="E32" s="149">
        <f>B32/C32</f>
        <v>4.5</v>
      </c>
      <c r="F32" s="150">
        <f>E32*(1-Kalkulator!I$4)*(1+Kalkulator!I$5)</f>
        <v>4.5</v>
      </c>
      <c r="G32" s="149">
        <v>1.1000000000000001</v>
      </c>
      <c r="H32" s="149"/>
      <c r="I32" s="151"/>
      <c r="J32" s="246"/>
      <c r="K32" s="246"/>
      <c r="L32" s="86"/>
    </row>
    <row r="33" spans="1:16">
      <c r="A33" s="248"/>
      <c r="B33" s="249"/>
      <c r="C33" s="114"/>
      <c r="D33" s="86"/>
      <c r="E33" s="86"/>
      <c r="F33" s="86"/>
      <c r="G33" s="86"/>
      <c r="H33" s="86"/>
      <c r="I33" s="86"/>
      <c r="J33" s="86"/>
      <c r="K33" s="86"/>
      <c r="L33" s="86"/>
    </row>
    <row r="34" spans="1:16">
      <c r="C34" s="56"/>
      <c r="D34" s="56"/>
      <c r="E34" s="46">
        <f ca="1">TODAY()</f>
        <v>40697</v>
      </c>
      <c r="F34" s="72"/>
      <c r="G34" s="3"/>
      <c r="H34" s="105" t="s">
        <v>10</v>
      </c>
      <c r="I34" s="47" t="s">
        <v>11</v>
      </c>
      <c r="J34" s="39" t="s">
        <v>18</v>
      </c>
      <c r="K34" s="40"/>
      <c r="L34" s="67"/>
    </row>
    <row r="35" spans="1:16" hidden="1">
      <c r="A35" s="41" t="s">
        <v>6</v>
      </c>
      <c r="B35" s="50" t="str">
        <f>LEFT(Kalkulator!C22,5)</f>
        <v>AT 37</v>
      </c>
      <c r="C35" s="50" t="s">
        <v>602</v>
      </c>
      <c r="D35" s="56"/>
      <c r="E35" s="13"/>
      <c r="F35" s="13"/>
      <c r="G35" s="3"/>
      <c r="H35" s="40" t="str">
        <f>Kalkulator!B105</f>
        <v>beton, bloczki, cegła pełna</v>
      </c>
      <c r="I35" s="48">
        <v>6</v>
      </c>
      <c r="J35" s="40" t="str">
        <f>Kalkulator!B155</f>
        <v>Łącznik z trzpieniem stalowym wbijanym</v>
      </c>
      <c r="K35" s="40"/>
      <c r="L35" s="67"/>
    </row>
    <row r="36" spans="1:16" hidden="1">
      <c r="A36" s="42" t="str">
        <f>Kalkulator!B135</f>
        <v>grupa I - kolory pastelowe (bez dopłaty)</v>
      </c>
      <c r="B36" s="51">
        <v>0</v>
      </c>
      <c r="C36" s="51">
        <v>0</v>
      </c>
      <c r="D36" s="56"/>
      <c r="E36" s="104" t="s">
        <v>2</v>
      </c>
      <c r="F36" s="240">
        <f>IF(Kalkulator!I2=E39,(1+D1),IF(Kalkulator!I2=E40,Kalkulator!I3,1))</f>
        <v>1</v>
      </c>
      <c r="G36" s="3"/>
      <c r="H36" s="40" t="str">
        <f>Kalkulator!B106</f>
        <v>pustaki, cegła szczelinowa</v>
      </c>
      <c r="I36" s="48">
        <v>9</v>
      </c>
      <c r="J36" s="40" t="str">
        <f>Kalkulator!B155</f>
        <v>Łącznik z trzpieniem stalowym wbijanym</v>
      </c>
      <c r="K36" s="40"/>
      <c r="L36" s="67"/>
    </row>
    <row r="37" spans="1:16" hidden="1">
      <c r="A37" s="42" t="str">
        <f>Kalkulator!B136</f>
        <v>grupa II - kolory średnio intensywne</v>
      </c>
      <c r="B37" s="51">
        <v>0.05</v>
      </c>
      <c r="C37" s="51">
        <v>0.1</v>
      </c>
      <c r="D37" s="56"/>
      <c r="E37" s="104" t="s">
        <v>595</v>
      </c>
      <c r="F37" s="240">
        <f>IF(Kalkulator!I2=E40,Kalkulator!I3,1)</f>
        <v>1</v>
      </c>
      <c r="G37" s="3"/>
      <c r="H37" s="40" t="str">
        <f>Kalkulator!B107</f>
        <v>pustak z ceramiki poryzowanej</v>
      </c>
      <c r="I37" s="48">
        <v>9</v>
      </c>
      <c r="J37" s="40" t="str">
        <f>Kalkulator!B156</f>
        <v>Łącznik z trzpieniem stalowym wkręcanym</v>
      </c>
      <c r="K37" s="40"/>
      <c r="L37" s="67"/>
    </row>
    <row r="38" spans="1:16" hidden="1">
      <c r="A38" s="42" t="str">
        <f>Kalkulator!B137</f>
        <v>grupa III - kolory ciemne i nasycone</v>
      </c>
      <c r="B38" s="51">
        <f>IF(B$35&gt;="AT 37",0.1,IF(B$35&gt;="AT 35",0.15))</f>
        <v>0.1</v>
      </c>
      <c r="C38" s="51">
        <v>0.3</v>
      </c>
      <c r="D38" s="56"/>
      <c r="E38" s="234" t="s">
        <v>566</v>
      </c>
      <c r="F38" s="106"/>
      <c r="G38" s="3"/>
      <c r="H38" s="40" t="str">
        <f>Kalkulator!B108</f>
        <v>bloczki z betonu komórkowego</v>
      </c>
      <c r="I38" s="48">
        <v>9</v>
      </c>
      <c r="J38" s="40" t="str">
        <f>Kalkulator!B156</f>
        <v>Łącznik z trzpieniem stalowym wkręcanym</v>
      </c>
      <c r="K38" s="40"/>
      <c r="L38" s="67"/>
    </row>
    <row r="39" spans="1:16" hidden="1">
      <c r="A39" s="42" t="str">
        <f>Kalkulator!B138</f>
        <v>grupa IV - wycena indywidualna</v>
      </c>
      <c r="B39" s="51">
        <v>0</v>
      </c>
      <c r="C39" s="51">
        <v>0</v>
      </c>
      <c r="D39" s="56"/>
      <c r="E39" s="234" t="s">
        <v>567</v>
      </c>
      <c r="F39" s="67"/>
      <c r="G39" s="3"/>
      <c r="H39" s="3"/>
      <c r="I39" s="3"/>
      <c r="J39" s="3"/>
      <c r="K39" s="3"/>
      <c r="L39" s="3"/>
    </row>
    <row r="40" spans="1:16" hidden="1">
      <c r="C40" s="56"/>
      <c r="D40" s="56"/>
      <c r="E40" s="235" t="s">
        <v>568</v>
      </c>
      <c r="F40" s="67"/>
      <c r="G40" s="3"/>
      <c r="H40" s="3"/>
      <c r="I40" s="107"/>
      <c r="J40" s="3"/>
      <c r="K40" s="3"/>
      <c r="L40" s="3"/>
    </row>
    <row r="41" spans="1:16" hidden="1">
      <c r="A41" s="43" t="s">
        <v>7</v>
      </c>
      <c r="B41" s="52" t="s">
        <v>8</v>
      </c>
      <c r="C41" s="56"/>
      <c r="D41" s="56"/>
      <c r="E41" s="3"/>
      <c r="F41" s="67"/>
      <c r="G41" s="3"/>
      <c r="H41" s="108" t="s">
        <v>22</v>
      </c>
      <c r="I41" s="109" t="s">
        <v>20</v>
      </c>
      <c r="J41" s="109" t="s">
        <v>21</v>
      </c>
      <c r="K41" s="110"/>
      <c r="L41" s="109"/>
    </row>
    <row r="42" spans="1:16" hidden="1">
      <c r="A42" s="44" t="str">
        <f>Kalkulator!B139</f>
        <v>biały - bez dopłaty</v>
      </c>
      <c r="B42" s="53">
        <v>0</v>
      </c>
      <c r="C42" s="56"/>
      <c r="D42" s="56"/>
      <c r="E42" s="3"/>
      <c r="F42" s="67"/>
      <c r="G42" s="3"/>
      <c r="H42" s="111"/>
      <c r="I42" s="112" t="s">
        <v>12</v>
      </c>
      <c r="J42" s="112" t="s">
        <v>12</v>
      </c>
      <c r="K42" s="112" t="s">
        <v>14</v>
      </c>
      <c r="L42" s="112" t="s">
        <v>17</v>
      </c>
    </row>
    <row r="43" spans="1:16" hidden="1">
      <c r="A43" s="44" t="str">
        <f>Kalkulator!B140</f>
        <v>grupa I - kolory pastelowe</v>
      </c>
      <c r="B43" s="53">
        <v>0.1</v>
      </c>
      <c r="C43" s="56"/>
      <c r="D43" s="56"/>
      <c r="E43" s="3"/>
      <c r="F43" s="67"/>
      <c r="G43" s="3"/>
      <c r="H43" s="113" t="s">
        <v>16</v>
      </c>
      <c r="I43" s="112" t="s">
        <v>13</v>
      </c>
      <c r="J43" s="112" t="s">
        <v>13</v>
      </c>
      <c r="K43" s="112" t="s">
        <v>15</v>
      </c>
      <c r="L43" s="112" t="s">
        <v>52</v>
      </c>
      <c r="M43" s="3"/>
      <c r="N43" s="3"/>
      <c r="O43" s="3"/>
      <c r="P43" s="3"/>
    </row>
    <row r="44" spans="1:16" hidden="1">
      <c r="A44" s="44" t="str">
        <f>Kalkulator!B141</f>
        <v>grupa II - kolory średnio intensywne</v>
      </c>
      <c r="B44" s="53">
        <v>0.2</v>
      </c>
      <c r="C44" s="56"/>
      <c r="D44" s="56"/>
      <c r="E44" s="3"/>
      <c r="F44" s="67"/>
      <c r="G44" s="3"/>
      <c r="H44" s="111" t="str">
        <f>Kalkulator!B93</f>
        <v>ściana nieotynkowana - do 8 m.</v>
      </c>
      <c r="I44" s="111">
        <v>0</v>
      </c>
      <c r="J44" s="122">
        <v>6</v>
      </c>
      <c r="K44" s="122">
        <v>0</v>
      </c>
      <c r="L44" s="122" t="s">
        <v>51</v>
      </c>
      <c r="M44" s="3"/>
      <c r="N44" s="3"/>
      <c r="O44" s="3"/>
      <c r="P44" s="3"/>
    </row>
    <row r="45" spans="1:16" hidden="1">
      <c r="A45" s="44" t="str">
        <f>Kalkulator!B142</f>
        <v>grupa III - kolory ciemne i nasycone</v>
      </c>
      <c r="B45" s="53">
        <v>0.4</v>
      </c>
      <c r="C45" s="56"/>
      <c r="D45" s="56"/>
      <c r="E45" s="3"/>
      <c r="F45" s="67"/>
      <c r="G45" s="3"/>
      <c r="H45" s="111" t="str">
        <f>Kalkulator!B94</f>
        <v>ściana nieotynkowana - od 8 do 20 m.</v>
      </c>
      <c r="I45" s="111">
        <v>0</v>
      </c>
      <c r="J45" s="122">
        <v>6</v>
      </c>
      <c r="K45" s="122">
        <v>0</v>
      </c>
      <c r="L45" s="122" t="s">
        <v>51</v>
      </c>
      <c r="M45" s="3"/>
      <c r="N45" s="3"/>
      <c r="O45" s="3"/>
      <c r="P45" s="3"/>
    </row>
    <row r="46" spans="1:16" hidden="1">
      <c r="A46" s="44" t="str">
        <f>Kalkulator!B143</f>
        <v>grupa IV - wycena indywidualna</v>
      </c>
      <c r="B46" s="53">
        <v>0</v>
      </c>
      <c r="C46" s="56"/>
      <c r="D46" s="56"/>
      <c r="E46" s="3"/>
      <c r="F46" s="67"/>
      <c r="G46" s="3"/>
      <c r="H46" s="111" t="str">
        <f>Kalkulator!B95</f>
        <v>ściana nieotynkowana - od 20 do 25 m.</v>
      </c>
      <c r="I46" s="111">
        <v>4</v>
      </c>
      <c r="J46" s="122">
        <v>8</v>
      </c>
      <c r="K46" s="122">
        <v>0</v>
      </c>
      <c r="L46" s="122" t="s">
        <v>51</v>
      </c>
      <c r="M46" s="3"/>
      <c r="N46" s="3"/>
      <c r="O46" s="3"/>
      <c r="P46" s="3"/>
    </row>
    <row r="47" spans="1:16" hidden="1">
      <c r="C47" s="56"/>
      <c r="D47" s="56"/>
      <c r="E47" s="3"/>
      <c r="F47" s="67"/>
      <c r="G47" s="3"/>
      <c r="H47" s="111" t="str">
        <f>Kalkulator!B96</f>
        <v>ściana nieotynkowana - powyżej 25 m.</v>
      </c>
      <c r="I47" s="111">
        <v>4</v>
      </c>
      <c r="J47" s="122">
        <v>8</v>
      </c>
      <c r="K47" s="122">
        <v>0</v>
      </c>
      <c r="L47" s="122" t="s">
        <v>51</v>
      </c>
      <c r="M47" s="3"/>
      <c r="N47" s="3"/>
      <c r="O47" s="3"/>
      <c r="P47" s="3"/>
    </row>
    <row r="48" spans="1:16" hidden="1">
      <c r="C48" s="56"/>
      <c r="D48" s="56"/>
      <c r="E48" s="3"/>
      <c r="F48" s="67"/>
      <c r="G48" s="3"/>
      <c r="H48" s="111" t="str">
        <f>Kalkulator!B97</f>
        <v>ściana otynkowana - do 8 m.</v>
      </c>
      <c r="I48" s="111">
        <v>4</v>
      </c>
      <c r="J48" s="122">
        <v>6</v>
      </c>
      <c r="K48" s="122">
        <v>2</v>
      </c>
      <c r="L48" s="122" t="s">
        <v>51</v>
      </c>
      <c r="M48" s="3"/>
      <c r="N48" s="3"/>
      <c r="O48" s="3"/>
      <c r="P48" s="3"/>
    </row>
    <row r="49" spans="1:16" hidden="1">
      <c r="A49" s="45" t="s">
        <v>19</v>
      </c>
      <c r="B49" s="120" t="s">
        <v>36</v>
      </c>
      <c r="C49" s="119" t="s">
        <v>17</v>
      </c>
      <c r="D49" s="56"/>
      <c r="E49" s="3"/>
      <c r="F49" s="3"/>
      <c r="G49" s="3"/>
      <c r="H49" s="111" t="str">
        <f>Kalkulator!B98</f>
        <v>ściana otynkowana - od 8 do 20 m.</v>
      </c>
      <c r="I49" s="111">
        <v>4</v>
      </c>
      <c r="J49" s="122">
        <v>6</v>
      </c>
      <c r="K49" s="122">
        <v>2</v>
      </c>
      <c r="L49" s="122" t="s">
        <v>51</v>
      </c>
      <c r="M49" s="3"/>
      <c r="N49" s="3"/>
      <c r="O49" s="3"/>
      <c r="P49" s="3"/>
    </row>
    <row r="50" spans="1:16" hidden="1">
      <c r="A50" s="115" t="str">
        <f>Kalkulator!B110</f>
        <v>wełna mineralna - lamelowa</v>
      </c>
      <c r="B50" s="121">
        <v>7</v>
      </c>
      <c r="C50" s="118" t="s">
        <v>41</v>
      </c>
      <c r="D50" s="56"/>
      <c r="E50" s="3"/>
      <c r="F50" s="3"/>
      <c r="G50" s="3"/>
      <c r="H50" s="111" t="str">
        <f>Kalkulator!B99</f>
        <v>ściana otynkowana - od 20 do 25 m.</v>
      </c>
      <c r="I50" s="111">
        <v>4</v>
      </c>
      <c r="J50" s="122">
        <v>8</v>
      </c>
      <c r="K50" s="122">
        <v>2</v>
      </c>
      <c r="L50" s="122" t="s">
        <v>51</v>
      </c>
      <c r="M50" s="3"/>
      <c r="N50" s="3"/>
      <c r="O50" s="3"/>
      <c r="P50" s="3"/>
    </row>
    <row r="51" spans="1:16" hidden="1">
      <c r="A51" s="115" t="str">
        <f>Kalkulator!B111</f>
        <v>wełna mineralna - fasadowa</v>
      </c>
      <c r="B51" s="121">
        <v>8</v>
      </c>
      <c r="C51" s="118" t="s">
        <v>42</v>
      </c>
      <c r="D51" s="56"/>
      <c r="E51" s="3"/>
      <c r="F51" s="3"/>
      <c r="G51" s="3"/>
      <c r="H51" s="111" t="str">
        <f>Kalkulator!B100</f>
        <v>ściana otynkowana - powyżej 25 m.</v>
      </c>
      <c r="I51" s="111">
        <v>4</v>
      </c>
      <c r="J51" s="122">
        <v>8</v>
      </c>
      <c r="K51" s="122">
        <v>2</v>
      </c>
      <c r="L51" s="122" t="s">
        <v>51</v>
      </c>
      <c r="M51" s="3"/>
      <c r="N51" s="3"/>
      <c r="O51" s="3"/>
      <c r="P51" s="3"/>
    </row>
    <row r="52" spans="1:16" hidden="1">
      <c r="A52" s="115" t="str">
        <f>Kalkulator!B112</f>
        <v>wełna lamelowa Fasrock L</v>
      </c>
      <c r="B52" s="121">
        <v>2</v>
      </c>
      <c r="C52" s="118" t="s">
        <v>41</v>
      </c>
      <c r="D52" s="56"/>
      <c r="E52" s="3"/>
      <c r="F52" s="3"/>
      <c r="G52" s="3"/>
      <c r="H52" s="111" t="str">
        <f>Kalkulator!B101</f>
        <v>strop garażowy nieotynkowany</v>
      </c>
      <c r="I52" s="111">
        <v>0</v>
      </c>
      <c r="J52" s="122">
        <v>6</v>
      </c>
      <c r="K52" s="122">
        <v>0</v>
      </c>
      <c r="L52" s="122" t="s">
        <v>53</v>
      </c>
      <c r="M52" s="3"/>
      <c r="N52" s="3"/>
      <c r="O52" s="3"/>
      <c r="P52" s="3"/>
    </row>
    <row r="53" spans="1:16" hidden="1">
      <c r="A53" s="115" t="str">
        <f>Kalkulator!B113</f>
        <v>wełna lamelowa Fasrock LL</v>
      </c>
      <c r="B53" s="121">
        <v>3</v>
      </c>
      <c r="C53" s="118" t="s">
        <v>41</v>
      </c>
      <c r="D53" s="56"/>
      <c r="E53" s="3"/>
      <c r="F53" s="3"/>
      <c r="G53" s="3"/>
      <c r="H53" s="111" t="str">
        <f>Kalkulator!B102</f>
        <v>strop garażowy otynkowany</v>
      </c>
      <c r="I53" s="111">
        <v>6</v>
      </c>
      <c r="J53" s="122">
        <v>6</v>
      </c>
      <c r="K53" s="122">
        <v>2</v>
      </c>
      <c r="L53" s="122" t="s">
        <v>53</v>
      </c>
      <c r="M53" s="3"/>
      <c r="N53" s="3"/>
      <c r="O53" s="3"/>
      <c r="P53" s="3"/>
    </row>
    <row r="54" spans="1:16" hidden="1">
      <c r="A54" s="115" t="str">
        <f>Kalkulator!B114</f>
        <v>wełna fasadowa Frontrock MAX E</v>
      </c>
      <c r="B54" s="121">
        <v>4</v>
      </c>
      <c r="C54" s="216" t="s">
        <v>42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217"/>
      <c r="P54" s="86"/>
    </row>
    <row r="55" spans="1:16" hidden="1">
      <c r="A55" s="115" t="str">
        <f>Kalkulator!B116</f>
        <v>wełna fasadowa Fasrock</v>
      </c>
      <c r="B55" s="121">
        <v>5</v>
      </c>
      <c r="C55" s="118" t="s">
        <v>42</v>
      </c>
      <c r="I55" s="231" t="s">
        <v>180</v>
      </c>
      <c r="J55" s="1">
        <v>1</v>
      </c>
    </row>
    <row r="56" spans="1:16" hidden="1">
      <c r="I56" s="232" t="s">
        <v>563</v>
      </c>
      <c r="J56" s="1">
        <v>2</v>
      </c>
    </row>
    <row r="57" spans="1:16" hidden="1">
      <c r="A57" s="45" t="s">
        <v>621</v>
      </c>
      <c r="B57" s="120" t="s">
        <v>36</v>
      </c>
      <c r="C57" s="119" t="s">
        <v>17</v>
      </c>
      <c r="I57" s="232" t="s">
        <v>564</v>
      </c>
      <c r="J57" s="1">
        <v>3</v>
      </c>
    </row>
    <row r="58" spans="1:16" hidden="1">
      <c r="A58" s="115" t="str">
        <f>Kalkulator!B110</f>
        <v>wełna mineralna - lamelowa</v>
      </c>
      <c r="B58" s="121">
        <v>7</v>
      </c>
      <c r="C58" s="250" t="s">
        <v>41</v>
      </c>
      <c r="I58" s="232" t="s">
        <v>565</v>
      </c>
      <c r="J58" s="1">
        <v>4</v>
      </c>
    </row>
    <row r="59" spans="1:16" hidden="1">
      <c r="A59" s="115" t="str">
        <f>Kalkulator!B112</f>
        <v>wełna lamelowa Fasrock L</v>
      </c>
      <c r="B59" s="121">
        <v>2</v>
      </c>
      <c r="C59" s="250" t="s">
        <v>41</v>
      </c>
    </row>
    <row r="60" spans="1:16" hidden="1">
      <c r="A60" s="115" t="str">
        <f>Kalkulator!B113</f>
        <v>wełna lamelowa Fasrock LL</v>
      </c>
      <c r="B60" s="121">
        <v>3</v>
      </c>
      <c r="C60" s="250" t="s">
        <v>41</v>
      </c>
    </row>
    <row r="74" spans="2:3">
      <c r="B74" s="54"/>
      <c r="C74" s="55"/>
    </row>
    <row r="75" spans="2:3">
      <c r="C75" s="55"/>
    </row>
    <row r="76" spans="2:3">
      <c r="C76" s="55"/>
    </row>
    <row r="77" spans="2:3">
      <c r="C77" s="55"/>
    </row>
    <row r="78" spans="2:3">
      <c r="C78" s="55"/>
    </row>
  </sheetData>
  <sheetProtection password="F71C" sheet="1" objects="1" scenarios="1" selectLockedCells="1"/>
  <protectedRanges>
    <protectedRange password="C5F8" sqref="M3 E34:F35" name="Zakres1"/>
  </protectedRanges>
  <mergeCells count="4">
    <mergeCell ref="N3:Q3"/>
    <mergeCell ref="A3:A4"/>
    <mergeCell ref="C3:C4"/>
    <mergeCell ref="D3:D4"/>
  </mergeCells>
  <phoneticPr fontId="2" type="noConversion"/>
  <conditionalFormatting sqref="N6:Q18">
    <cfRule type="cellIs" dxfId="1" priority="3" stopIfTrue="1" operator="equal">
      <formula>0</formula>
    </cfRule>
  </conditionalFormatting>
  <conditionalFormatting sqref="C1:D1">
    <cfRule type="expression" dxfId="0" priority="2">
      <formula>$E$1</formula>
    </cfRule>
  </conditionalFormatting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9"/>
  <sheetViews>
    <sheetView topLeftCell="F1" workbookViewId="0">
      <selection activeCell="W12" sqref="W12"/>
    </sheetView>
  </sheetViews>
  <sheetFormatPr defaultRowHeight="12.75"/>
  <cols>
    <col min="1" max="1" width="6.28515625" style="229" hidden="1" customWidth="1"/>
    <col min="2" max="2" width="47.42578125" style="229" hidden="1" customWidth="1"/>
    <col min="3" max="3" width="40.42578125" style="229" hidden="1" customWidth="1"/>
    <col min="4" max="4" width="52.5703125" style="229" hidden="1" customWidth="1"/>
    <col min="5" max="5" width="52.28515625" style="229" hidden="1" customWidth="1"/>
  </cols>
  <sheetData>
    <row r="1" spans="1:5">
      <c r="A1" s="227">
        <v>1</v>
      </c>
      <c r="B1" s="228" t="s">
        <v>65</v>
      </c>
      <c r="C1" s="228" t="s">
        <v>181</v>
      </c>
      <c r="D1" s="228" t="s">
        <v>182</v>
      </c>
      <c r="E1" s="228" t="s">
        <v>183</v>
      </c>
    </row>
    <row r="2" spans="1:5">
      <c r="A2" s="230">
        <v>2</v>
      </c>
      <c r="B2" s="230" t="s">
        <v>66</v>
      </c>
      <c r="C2" s="230" t="s">
        <v>184</v>
      </c>
      <c r="D2" s="230" t="s">
        <v>185</v>
      </c>
      <c r="E2" s="230" t="s">
        <v>186</v>
      </c>
    </row>
    <row r="3" spans="1:5">
      <c r="A3" s="230">
        <v>3</v>
      </c>
      <c r="B3" s="236" t="s">
        <v>622</v>
      </c>
      <c r="C3" s="236" t="s">
        <v>623</v>
      </c>
      <c r="D3" s="236" t="s">
        <v>624</v>
      </c>
      <c r="E3" s="236" t="s">
        <v>625</v>
      </c>
    </row>
    <row r="4" spans="1:5">
      <c r="A4" s="230">
        <v>4</v>
      </c>
      <c r="B4" s="230" t="s">
        <v>174</v>
      </c>
      <c r="C4" s="230" t="s">
        <v>580</v>
      </c>
      <c r="D4" s="230" t="s">
        <v>581</v>
      </c>
      <c r="E4" s="230" t="s">
        <v>582</v>
      </c>
    </row>
    <row r="5" spans="1:5">
      <c r="A5" s="230">
        <v>5</v>
      </c>
      <c r="B5" s="230" t="s">
        <v>67</v>
      </c>
      <c r="C5" s="230" t="s">
        <v>187</v>
      </c>
      <c r="D5" s="230" t="s">
        <v>188</v>
      </c>
      <c r="E5" s="230" t="s">
        <v>189</v>
      </c>
    </row>
    <row r="6" spans="1:5">
      <c r="A6" s="230">
        <v>6</v>
      </c>
      <c r="B6" s="230" t="s">
        <v>569</v>
      </c>
      <c r="C6" s="230" t="s">
        <v>570</v>
      </c>
      <c r="D6" s="230" t="s">
        <v>571</v>
      </c>
      <c r="E6" s="230" t="s">
        <v>572</v>
      </c>
    </row>
    <row r="7" spans="1:5">
      <c r="A7" s="230">
        <v>7</v>
      </c>
      <c r="B7" s="230" t="s">
        <v>29</v>
      </c>
      <c r="C7" s="230" t="s">
        <v>190</v>
      </c>
      <c r="D7" s="230" t="s">
        <v>29</v>
      </c>
      <c r="E7" s="230" t="s">
        <v>191</v>
      </c>
    </row>
    <row r="8" spans="1:5">
      <c r="A8" s="230">
        <v>8</v>
      </c>
      <c r="B8" s="230" t="s">
        <v>30</v>
      </c>
      <c r="C8" s="230" t="s">
        <v>192</v>
      </c>
      <c r="D8" s="230" t="s">
        <v>30</v>
      </c>
      <c r="E8" s="230" t="s">
        <v>193</v>
      </c>
    </row>
    <row r="9" spans="1:5">
      <c r="A9" s="236">
        <v>9</v>
      </c>
      <c r="B9" s="230" t="s">
        <v>573</v>
      </c>
      <c r="C9" s="230" t="s">
        <v>573</v>
      </c>
      <c r="D9" s="230" t="s">
        <v>574</v>
      </c>
      <c r="E9" s="230" t="s">
        <v>575</v>
      </c>
    </row>
    <row r="10" spans="1:5">
      <c r="A10" s="230">
        <v>10</v>
      </c>
      <c r="B10" s="230" t="s">
        <v>576</v>
      </c>
      <c r="C10" s="230" t="s">
        <v>577</v>
      </c>
      <c r="D10" s="230" t="s">
        <v>578</v>
      </c>
      <c r="E10" s="230" t="s">
        <v>579</v>
      </c>
    </row>
    <row r="11" spans="1:5">
      <c r="A11" s="236">
        <v>11</v>
      </c>
      <c r="B11" s="230" t="s">
        <v>68</v>
      </c>
      <c r="C11" s="230" t="s">
        <v>194</v>
      </c>
      <c r="D11" s="230" t="s">
        <v>195</v>
      </c>
      <c r="E11" s="230" t="s">
        <v>196</v>
      </c>
    </row>
    <row r="12" spans="1:5">
      <c r="A12" s="230">
        <v>12</v>
      </c>
      <c r="B12" s="230" t="s">
        <v>69</v>
      </c>
      <c r="C12" s="230" t="s">
        <v>197</v>
      </c>
      <c r="D12" s="230" t="s">
        <v>198</v>
      </c>
      <c r="E12" s="230" t="s">
        <v>199</v>
      </c>
    </row>
    <row r="13" spans="1:5">
      <c r="A13" s="236">
        <v>13</v>
      </c>
      <c r="B13" s="230" t="s">
        <v>70</v>
      </c>
      <c r="C13" s="230" t="s">
        <v>200</v>
      </c>
      <c r="D13" s="230" t="s">
        <v>201</v>
      </c>
      <c r="E13" s="230" t="s">
        <v>202</v>
      </c>
    </row>
    <row r="14" spans="1:5">
      <c r="A14" s="230">
        <v>14</v>
      </c>
      <c r="B14" s="230" t="s">
        <v>71</v>
      </c>
      <c r="C14" s="230" t="s">
        <v>203</v>
      </c>
      <c r="D14" s="230" t="s">
        <v>204</v>
      </c>
      <c r="E14" s="230" t="s">
        <v>205</v>
      </c>
    </row>
    <row r="15" spans="1:5">
      <c r="A15" s="236">
        <v>15</v>
      </c>
      <c r="B15" s="230" t="s">
        <v>72</v>
      </c>
      <c r="C15" s="230" t="s">
        <v>206</v>
      </c>
      <c r="D15" s="230" t="s">
        <v>207</v>
      </c>
      <c r="E15" s="230" t="s">
        <v>208</v>
      </c>
    </row>
    <row r="16" spans="1:5">
      <c r="A16" s="230">
        <v>16</v>
      </c>
      <c r="B16" s="230" t="s">
        <v>73</v>
      </c>
      <c r="C16" s="230" t="s">
        <v>209</v>
      </c>
      <c r="D16" s="230" t="s">
        <v>210</v>
      </c>
      <c r="E16" s="230" t="s">
        <v>211</v>
      </c>
    </row>
    <row r="17" spans="1:5">
      <c r="A17" s="236">
        <v>17</v>
      </c>
      <c r="B17" s="230" t="s">
        <v>45</v>
      </c>
      <c r="C17" s="230" t="s">
        <v>212</v>
      </c>
      <c r="D17" s="230" t="s">
        <v>213</v>
      </c>
      <c r="E17" s="230" t="s">
        <v>214</v>
      </c>
    </row>
    <row r="18" spans="1:5">
      <c r="A18" s="230">
        <v>18</v>
      </c>
      <c r="B18" s="230" t="s">
        <v>74</v>
      </c>
      <c r="C18" s="230" t="s">
        <v>215</v>
      </c>
      <c r="D18" s="230" t="s">
        <v>74</v>
      </c>
      <c r="E18" s="230" t="s">
        <v>216</v>
      </c>
    </row>
    <row r="19" spans="1:5">
      <c r="A19" s="236">
        <v>19</v>
      </c>
      <c r="B19" s="230" t="s">
        <v>75</v>
      </c>
      <c r="C19" s="230" t="s">
        <v>217</v>
      </c>
      <c r="D19" s="230" t="s">
        <v>218</v>
      </c>
      <c r="E19" s="230" t="s">
        <v>219</v>
      </c>
    </row>
    <row r="20" spans="1:5">
      <c r="A20" s="230">
        <v>20</v>
      </c>
      <c r="B20" s="230" t="s">
        <v>76</v>
      </c>
      <c r="C20" s="230" t="s">
        <v>220</v>
      </c>
      <c r="D20" s="230" t="s">
        <v>221</v>
      </c>
      <c r="E20" s="230" t="s">
        <v>222</v>
      </c>
    </row>
    <row r="21" spans="1:5">
      <c r="A21" s="236">
        <v>21</v>
      </c>
      <c r="B21" s="230" t="s">
        <v>77</v>
      </c>
      <c r="C21" s="230" t="s">
        <v>223</v>
      </c>
      <c r="D21" s="230" t="s">
        <v>224</v>
      </c>
      <c r="E21" s="230" t="s">
        <v>225</v>
      </c>
    </row>
    <row r="22" spans="1:5">
      <c r="A22" s="230">
        <v>22</v>
      </c>
      <c r="B22" s="230" t="s">
        <v>78</v>
      </c>
      <c r="C22" s="230" t="s">
        <v>226</v>
      </c>
      <c r="D22" s="230" t="s">
        <v>227</v>
      </c>
      <c r="E22" s="230" t="s">
        <v>228</v>
      </c>
    </row>
    <row r="23" spans="1:5">
      <c r="A23" s="236">
        <v>23</v>
      </c>
      <c r="B23" s="230" t="s">
        <v>79</v>
      </c>
      <c r="C23" s="230" t="s">
        <v>229</v>
      </c>
      <c r="D23" s="230" t="s">
        <v>230</v>
      </c>
      <c r="E23" s="230" t="s">
        <v>231</v>
      </c>
    </row>
    <row r="24" spans="1:5">
      <c r="A24" s="230">
        <v>24</v>
      </c>
      <c r="B24" s="230" t="s">
        <v>80</v>
      </c>
      <c r="C24" s="230" t="s">
        <v>232</v>
      </c>
      <c r="D24" s="230" t="s">
        <v>233</v>
      </c>
      <c r="E24" s="230" t="s">
        <v>234</v>
      </c>
    </row>
    <row r="25" spans="1:5">
      <c r="A25" s="236">
        <v>25</v>
      </c>
      <c r="B25" s="230" t="s">
        <v>81</v>
      </c>
      <c r="C25" s="230" t="s">
        <v>235</v>
      </c>
      <c r="D25" s="230" t="s">
        <v>236</v>
      </c>
      <c r="E25" s="230" t="s">
        <v>237</v>
      </c>
    </row>
    <row r="26" spans="1:5">
      <c r="A26" s="230">
        <v>26</v>
      </c>
      <c r="B26" s="230" t="s">
        <v>82</v>
      </c>
      <c r="C26" s="230" t="s">
        <v>238</v>
      </c>
      <c r="D26" s="230" t="s">
        <v>626</v>
      </c>
      <c r="E26" s="230" t="s">
        <v>239</v>
      </c>
    </row>
    <row r="27" spans="1:5">
      <c r="A27" s="236">
        <v>27</v>
      </c>
      <c r="B27" s="230" t="s">
        <v>83</v>
      </c>
      <c r="C27" s="230" t="s">
        <v>240</v>
      </c>
      <c r="D27" s="230" t="s">
        <v>241</v>
      </c>
      <c r="E27" s="230" t="s">
        <v>242</v>
      </c>
    </row>
    <row r="28" spans="1:5">
      <c r="A28" s="230">
        <v>28</v>
      </c>
      <c r="B28" s="230" t="s">
        <v>84</v>
      </c>
      <c r="C28" s="230" t="s">
        <v>243</v>
      </c>
      <c r="D28" s="230" t="s">
        <v>244</v>
      </c>
      <c r="E28" s="230" t="s">
        <v>245</v>
      </c>
    </row>
    <row r="29" spans="1:5">
      <c r="A29" s="236">
        <v>29</v>
      </c>
      <c r="B29" s="230" t="s">
        <v>85</v>
      </c>
      <c r="C29" s="230" t="s">
        <v>246</v>
      </c>
      <c r="D29" s="230" t="s">
        <v>247</v>
      </c>
      <c r="E29" s="230" t="s">
        <v>248</v>
      </c>
    </row>
    <row r="30" spans="1:5">
      <c r="A30" s="230">
        <v>30</v>
      </c>
      <c r="B30" s="230" t="s">
        <v>61</v>
      </c>
      <c r="C30" s="230" t="s">
        <v>249</v>
      </c>
      <c r="D30" s="230" t="s">
        <v>250</v>
      </c>
      <c r="E30" s="230" t="s">
        <v>251</v>
      </c>
    </row>
    <row r="31" spans="1:5">
      <c r="A31" s="236">
        <v>31</v>
      </c>
      <c r="B31" s="230" t="s">
        <v>86</v>
      </c>
      <c r="C31" s="230" t="s">
        <v>252</v>
      </c>
      <c r="D31" s="230" t="s">
        <v>253</v>
      </c>
      <c r="E31" s="230" t="s">
        <v>254</v>
      </c>
    </row>
    <row r="32" spans="1:5">
      <c r="A32" s="230">
        <v>32</v>
      </c>
      <c r="B32" s="230" t="s">
        <v>87</v>
      </c>
      <c r="C32" s="230" t="s">
        <v>255</v>
      </c>
      <c r="D32" s="230" t="s">
        <v>256</v>
      </c>
      <c r="E32" s="230" t="s">
        <v>257</v>
      </c>
    </row>
    <row r="33" spans="1:5">
      <c r="A33" s="236">
        <v>33</v>
      </c>
      <c r="B33" s="230" t="s">
        <v>88</v>
      </c>
      <c r="C33" s="230" t="s">
        <v>258</v>
      </c>
      <c r="D33" s="230" t="s">
        <v>259</v>
      </c>
      <c r="E33" s="230" t="s">
        <v>260</v>
      </c>
    </row>
    <row r="34" spans="1:5">
      <c r="A34" s="230">
        <v>34</v>
      </c>
      <c r="B34" s="230" t="s">
        <v>89</v>
      </c>
      <c r="C34" s="230" t="s">
        <v>261</v>
      </c>
      <c r="D34" s="230" t="s">
        <v>262</v>
      </c>
      <c r="E34" s="230" t="s">
        <v>251</v>
      </c>
    </row>
    <row r="35" spans="1:5">
      <c r="A35" s="236">
        <v>35</v>
      </c>
      <c r="B35" s="230" t="s">
        <v>90</v>
      </c>
      <c r="C35" s="230" t="s">
        <v>263</v>
      </c>
      <c r="D35" s="230" t="s">
        <v>264</v>
      </c>
      <c r="E35" s="230" t="s">
        <v>254</v>
      </c>
    </row>
    <row r="36" spans="1:5">
      <c r="A36" s="230">
        <v>36</v>
      </c>
      <c r="B36" s="230" t="s">
        <v>91</v>
      </c>
      <c r="C36" s="230" t="s">
        <v>265</v>
      </c>
      <c r="D36" s="230" t="s">
        <v>266</v>
      </c>
      <c r="E36" s="230" t="s">
        <v>267</v>
      </c>
    </row>
    <row r="37" spans="1:5">
      <c r="A37" s="236">
        <v>37</v>
      </c>
      <c r="B37" s="230" t="s">
        <v>92</v>
      </c>
      <c r="C37" s="230" t="s">
        <v>268</v>
      </c>
      <c r="D37" s="230" t="s">
        <v>269</v>
      </c>
      <c r="E37" s="230" t="s">
        <v>270</v>
      </c>
    </row>
    <row r="38" spans="1:5">
      <c r="A38" s="230">
        <v>38</v>
      </c>
      <c r="B38" s="230" t="s">
        <v>93</v>
      </c>
      <c r="C38" s="230" t="s">
        <v>271</v>
      </c>
      <c r="D38" s="230" t="s">
        <v>272</v>
      </c>
      <c r="E38" s="230" t="s">
        <v>273</v>
      </c>
    </row>
    <row r="39" spans="1:5">
      <c r="A39" s="236">
        <v>39</v>
      </c>
      <c r="B39" s="230" t="s">
        <v>94</v>
      </c>
      <c r="C39" s="230" t="s">
        <v>274</v>
      </c>
      <c r="D39" s="230" t="s">
        <v>275</v>
      </c>
      <c r="E39" s="230" t="s">
        <v>276</v>
      </c>
    </row>
    <row r="40" spans="1:5">
      <c r="A40" s="230">
        <v>40</v>
      </c>
      <c r="B40" s="230" t="s">
        <v>95</v>
      </c>
      <c r="C40" s="230" t="s">
        <v>277</v>
      </c>
      <c r="D40" s="230" t="s">
        <v>278</v>
      </c>
      <c r="E40" s="230" t="s">
        <v>279</v>
      </c>
    </row>
    <row r="41" spans="1:5">
      <c r="A41" s="236">
        <v>41</v>
      </c>
      <c r="B41" s="230" t="s">
        <v>96</v>
      </c>
      <c r="C41" s="230" t="s">
        <v>280</v>
      </c>
      <c r="D41" s="230" t="s">
        <v>281</v>
      </c>
      <c r="E41" s="230" t="s">
        <v>282</v>
      </c>
    </row>
    <row r="42" spans="1:5">
      <c r="A42" s="230">
        <v>42</v>
      </c>
      <c r="B42" s="230" t="s">
        <v>55</v>
      </c>
      <c r="C42" s="230" t="s">
        <v>283</v>
      </c>
      <c r="D42" s="230" t="s">
        <v>284</v>
      </c>
      <c r="E42" s="230" t="s">
        <v>285</v>
      </c>
    </row>
    <row r="43" spans="1:5">
      <c r="A43" s="236">
        <v>43</v>
      </c>
      <c r="B43" s="230" t="s">
        <v>97</v>
      </c>
      <c r="C43" s="230" t="s">
        <v>286</v>
      </c>
      <c r="D43" s="230" t="s">
        <v>287</v>
      </c>
      <c r="E43" s="230" t="s">
        <v>288</v>
      </c>
    </row>
    <row r="44" spans="1:5">
      <c r="A44" s="230">
        <v>44</v>
      </c>
      <c r="B44" s="230" t="s">
        <v>98</v>
      </c>
      <c r="C44" s="230" t="s">
        <v>289</v>
      </c>
      <c r="D44" s="230" t="s">
        <v>290</v>
      </c>
      <c r="E44" s="230" t="s">
        <v>291</v>
      </c>
    </row>
    <row r="45" spans="1:5">
      <c r="A45" s="236">
        <v>45</v>
      </c>
      <c r="B45" s="230" t="s">
        <v>99</v>
      </c>
      <c r="C45" s="230" t="s">
        <v>292</v>
      </c>
      <c r="D45" s="230" t="s">
        <v>293</v>
      </c>
      <c r="E45" s="230" t="s">
        <v>294</v>
      </c>
    </row>
    <row r="46" spans="1:5">
      <c r="A46" s="230">
        <v>46</v>
      </c>
      <c r="B46" s="230" t="s">
        <v>100</v>
      </c>
      <c r="C46" s="230" t="s">
        <v>295</v>
      </c>
      <c r="D46" s="230" t="s">
        <v>296</v>
      </c>
      <c r="E46" s="230" t="s">
        <v>297</v>
      </c>
    </row>
    <row r="47" spans="1:5">
      <c r="A47" s="236">
        <v>47</v>
      </c>
      <c r="B47" s="230" t="s">
        <v>56</v>
      </c>
      <c r="C47" s="230" t="s">
        <v>298</v>
      </c>
      <c r="D47" s="230" t="s">
        <v>299</v>
      </c>
      <c r="E47" s="230" t="s">
        <v>300</v>
      </c>
    </row>
    <row r="48" spans="1:5">
      <c r="A48" s="230">
        <v>48</v>
      </c>
      <c r="B48" s="230" t="s">
        <v>178</v>
      </c>
      <c r="C48" s="230" t="s">
        <v>555</v>
      </c>
      <c r="D48" s="230" t="s">
        <v>556</v>
      </c>
      <c r="E48" s="230" t="s">
        <v>557</v>
      </c>
    </row>
    <row r="49" spans="1:5">
      <c r="A49" s="236">
        <v>49</v>
      </c>
      <c r="B49" s="230" t="s">
        <v>176</v>
      </c>
      <c r="C49" s="230" t="s">
        <v>558</v>
      </c>
      <c r="D49" s="230" t="s">
        <v>559</v>
      </c>
      <c r="E49" s="230" t="s">
        <v>560</v>
      </c>
    </row>
    <row r="50" spans="1:5">
      <c r="A50" s="230">
        <v>50</v>
      </c>
      <c r="B50" s="230" t="s">
        <v>101</v>
      </c>
      <c r="C50" s="230" t="s">
        <v>301</v>
      </c>
      <c r="D50" s="230" t="s">
        <v>302</v>
      </c>
      <c r="E50" s="230" t="s">
        <v>303</v>
      </c>
    </row>
    <row r="51" spans="1:5">
      <c r="A51" s="236">
        <v>51</v>
      </c>
      <c r="B51" s="230" t="s">
        <v>102</v>
      </c>
      <c r="C51" s="230" t="s">
        <v>304</v>
      </c>
      <c r="D51" s="230" t="s">
        <v>305</v>
      </c>
      <c r="E51" s="230" t="s">
        <v>306</v>
      </c>
    </row>
    <row r="52" spans="1:5">
      <c r="A52" s="230">
        <v>52</v>
      </c>
      <c r="B52" s="230" t="s">
        <v>103</v>
      </c>
      <c r="C52" s="230" t="s">
        <v>307</v>
      </c>
      <c r="D52" s="230" t="s">
        <v>308</v>
      </c>
      <c r="E52" s="230" t="s">
        <v>309</v>
      </c>
    </row>
    <row r="53" spans="1:5">
      <c r="A53" s="236">
        <v>53</v>
      </c>
      <c r="B53" s="230" t="s">
        <v>104</v>
      </c>
      <c r="C53" s="230" t="s">
        <v>310</v>
      </c>
      <c r="D53" s="230" t="s">
        <v>311</v>
      </c>
      <c r="E53" s="230" t="s">
        <v>312</v>
      </c>
    </row>
    <row r="54" spans="1:5">
      <c r="A54" s="230">
        <v>54</v>
      </c>
      <c r="B54" s="230" t="s">
        <v>105</v>
      </c>
      <c r="C54" s="230" t="s">
        <v>105</v>
      </c>
      <c r="D54" s="230" t="s">
        <v>105</v>
      </c>
      <c r="E54" s="230" t="s">
        <v>313</v>
      </c>
    </row>
    <row r="55" spans="1:5">
      <c r="A55" s="236">
        <v>55</v>
      </c>
      <c r="B55" s="230" t="s">
        <v>106</v>
      </c>
      <c r="C55" s="230" t="s">
        <v>314</v>
      </c>
      <c r="D55" s="230" t="s">
        <v>315</v>
      </c>
      <c r="E55" s="230" t="s">
        <v>316</v>
      </c>
    </row>
    <row r="56" spans="1:5">
      <c r="A56" s="230">
        <v>56</v>
      </c>
      <c r="B56" s="230" t="s">
        <v>107</v>
      </c>
      <c r="C56" s="230" t="s">
        <v>317</v>
      </c>
      <c r="D56" s="230" t="s">
        <v>318</v>
      </c>
      <c r="E56" s="230" t="s">
        <v>319</v>
      </c>
    </row>
    <row r="57" spans="1:5">
      <c r="A57" s="236">
        <v>57</v>
      </c>
      <c r="B57" s="230" t="s">
        <v>108</v>
      </c>
      <c r="C57" s="230" t="s">
        <v>320</v>
      </c>
      <c r="D57" s="230" t="s">
        <v>321</v>
      </c>
      <c r="E57" s="230" t="s">
        <v>322</v>
      </c>
    </row>
    <row r="58" spans="1:5">
      <c r="A58" s="230">
        <v>58</v>
      </c>
      <c r="B58" s="230" t="s">
        <v>109</v>
      </c>
      <c r="C58" s="230" t="s">
        <v>323</v>
      </c>
      <c r="D58" s="230" t="s">
        <v>324</v>
      </c>
      <c r="E58" s="230" t="s">
        <v>325</v>
      </c>
    </row>
    <row r="59" spans="1:5">
      <c r="A59" s="236">
        <v>59</v>
      </c>
      <c r="B59" s="230" t="s">
        <v>110</v>
      </c>
      <c r="C59" s="230" t="s">
        <v>326</v>
      </c>
      <c r="D59" s="230" t="s">
        <v>327</v>
      </c>
      <c r="E59" s="230" t="s">
        <v>328</v>
      </c>
    </row>
    <row r="60" spans="1:5">
      <c r="A60" s="230">
        <v>60</v>
      </c>
      <c r="B60" s="230" t="s">
        <v>111</v>
      </c>
      <c r="C60" s="230" t="s">
        <v>329</v>
      </c>
      <c r="D60" s="230" t="s">
        <v>330</v>
      </c>
      <c r="E60" s="230" t="s">
        <v>331</v>
      </c>
    </row>
    <row r="61" spans="1:5">
      <c r="A61" s="236">
        <v>61</v>
      </c>
      <c r="B61" s="230" t="s">
        <v>112</v>
      </c>
      <c r="C61" s="230" t="s">
        <v>332</v>
      </c>
      <c r="D61" s="230" t="s">
        <v>333</v>
      </c>
      <c r="E61" s="230" t="s">
        <v>334</v>
      </c>
    </row>
    <row r="62" spans="1:5">
      <c r="A62" s="230">
        <v>62</v>
      </c>
      <c r="B62" s="230" t="s">
        <v>113</v>
      </c>
      <c r="C62" s="230" t="s">
        <v>335</v>
      </c>
      <c r="D62" s="230" t="s">
        <v>336</v>
      </c>
      <c r="E62" s="230" t="s">
        <v>337</v>
      </c>
    </row>
    <row r="63" spans="1:5">
      <c r="A63" s="236">
        <v>63</v>
      </c>
      <c r="B63" s="230" t="s">
        <v>114</v>
      </c>
      <c r="C63" s="230" t="s">
        <v>338</v>
      </c>
      <c r="D63" s="230" t="s">
        <v>339</v>
      </c>
      <c r="E63" s="230" t="s">
        <v>340</v>
      </c>
    </row>
    <row r="64" spans="1:5">
      <c r="A64" s="230">
        <v>64</v>
      </c>
      <c r="B64" s="230" t="s">
        <v>115</v>
      </c>
      <c r="C64" s="230" t="s">
        <v>341</v>
      </c>
      <c r="D64" s="230" t="s">
        <v>342</v>
      </c>
      <c r="E64" s="230" t="s">
        <v>343</v>
      </c>
    </row>
    <row r="65" spans="1:5">
      <c r="A65" s="236">
        <v>65</v>
      </c>
      <c r="B65" s="230" t="s">
        <v>116</v>
      </c>
      <c r="C65" s="230" t="s">
        <v>344</v>
      </c>
      <c r="D65" s="230" t="s">
        <v>345</v>
      </c>
      <c r="E65" s="230" t="s">
        <v>346</v>
      </c>
    </row>
    <row r="66" spans="1:5">
      <c r="A66" s="230">
        <v>66</v>
      </c>
      <c r="B66" s="230" t="s">
        <v>117</v>
      </c>
      <c r="C66" s="230" t="s">
        <v>347</v>
      </c>
      <c r="D66" s="230" t="s">
        <v>348</v>
      </c>
      <c r="E66" s="230" t="s">
        <v>349</v>
      </c>
    </row>
    <row r="67" spans="1:5">
      <c r="A67" s="236">
        <v>67</v>
      </c>
      <c r="B67" s="230" t="s">
        <v>118</v>
      </c>
      <c r="C67" s="230" t="s">
        <v>350</v>
      </c>
      <c r="D67" s="230" t="s">
        <v>351</v>
      </c>
      <c r="E67" s="230" t="s">
        <v>352</v>
      </c>
    </row>
    <row r="68" spans="1:5">
      <c r="A68" s="230">
        <v>68</v>
      </c>
      <c r="B68" s="230" t="s">
        <v>119</v>
      </c>
      <c r="C68" s="230" t="s">
        <v>353</v>
      </c>
      <c r="D68" s="230" t="s">
        <v>354</v>
      </c>
      <c r="E68" s="230" t="s">
        <v>355</v>
      </c>
    </row>
    <row r="69" spans="1:5">
      <c r="A69" s="236">
        <v>69</v>
      </c>
      <c r="B69" s="230" t="s">
        <v>120</v>
      </c>
      <c r="C69" s="230" t="s">
        <v>356</v>
      </c>
      <c r="D69" s="230" t="s">
        <v>357</v>
      </c>
      <c r="E69" s="230" t="s">
        <v>358</v>
      </c>
    </row>
    <row r="70" spans="1:5">
      <c r="A70" s="230">
        <v>70</v>
      </c>
      <c r="B70" s="230" t="s">
        <v>59</v>
      </c>
      <c r="C70" s="230" t="s">
        <v>359</v>
      </c>
      <c r="D70" s="230" t="s">
        <v>360</v>
      </c>
      <c r="E70" s="230" t="s">
        <v>361</v>
      </c>
    </row>
    <row r="71" spans="1:5">
      <c r="A71" s="236">
        <v>71</v>
      </c>
      <c r="B71" s="230" t="s">
        <v>583</v>
      </c>
      <c r="C71" s="230" t="s">
        <v>584</v>
      </c>
      <c r="D71" s="230" t="s">
        <v>585</v>
      </c>
      <c r="E71" s="230" t="s">
        <v>586</v>
      </c>
    </row>
    <row r="72" spans="1:5">
      <c r="A72" s="230">
        <v>72</v>
      </c>
      <c r="B72" s="230" t="s">
        <v>587</v>
      </c>
      <c r="C72" s="230" t="s">
        <v>588</v>
      </c>
      <c r="D72" s="230" t="s">
        <v>589</v>
      </c>
      <c r="E72" s="230" t="s">
        <v>590</v>
      </c>
    </row>
    <row r="73" spans="1:5">
      <c r="A73" s="236">
        <v>73</v>
      </c>
      <c r="B73" s="230" t="s">
        <v>121</v>
      </c>
      <c r="C73" s="230" t="s">
        <v>362</v>
      </c>
      <c r="D73" s="230" t="s">
        <v>363</v>
      </c>
      <c r="E73" s="230" t="s">
        <v>364</v>
      </c>
    </row>
    <row r="74" spans="1:5">
      <c r="A74" s="230">
        <v>74</v>
      </c>
      <c r="B74" s="230" t="s">
        <v>60</v>
      </c>
      <c r="C74" s="230" t="s">
        <v>365</v>
      </c>
      <c r="D74" s="230" t="s">
        <v>366</v>
      </c>
      <c r="E74" s="230" t="s">
        <v>367</v>
      </c>
    </row>
    <row r="75" spans="1:5">
      <c r="A75" s="236">
        <v>75</v>
      </c>
      <c r="B75" s="230" t="s">
        <v>591</v>
      </c>
      <c r="C75" s="230" t="s">
        <v>592</v>
      </c>
      <c r="D75" s="230" t="s">
        <v>593</v>
      </c>
      <c r="E75" s="230" t="s">
        <v>594</v>
      </c>
    </row>
    <row r="76" spans="1:5">
      <c r="A76" s="230">
        <v>76</v>
      </c>
      <c r="B76" s="230" t="s">
        <v>583</v>
      </c>
      <c r="C76" s="230" t="s">
        <v>584</v>
      </c>
      <c r="D76" s="230" t="s">
        <v>585</v>
      </c>
      <c r="E76" s="230" t="s">
        <v>586</v>
      </c>
    </row>
    <row r="77" spans="1:5">
      <c r="A77" s="236">
        <v>77</v>
      </c>
      <c r="B77" s="230" t="s">
        <v>587</v>
      </c>
      <c r="C77" s="230" t="s">
        <v>588</v>
      </c>
      <c r="D77" s="230" t="s">
        <v>589</v>
      </c>
      <c r="E77" s="230" t="s">
        <v>590</v>
      </c>
    </row>
    <row r="78" spans="1:5">
      <c r="A78" s="230">
        <v>78</v>
      </c>
      <c r="B78" s="230" t="s">
        <v>121</v>
      </c>
      <c r="C78" s="230" t="s">
        <v>362</v>
      </c>
      <c r="D78" s="230" t="s">
        <v>363</v>
      </c>
      <c r="E78" s="230" t="s">
        <v>364</v>
      </c>
    </row>
    <row r="79" spans="1:5">
      <c r="A79" s="236">
        <v>79</v>
      </c>
      <c r="B79" s="230" t="s">
        <v>122</v>
      </c>
      <c r="C79" s="230" t="s">
        <v>368</v>
      </c>
      <c r="D79" s="230" t="s">
        <v>369</v>
      </c>
      <c r="E79" s="230" t="s">
        <v>370</v>
      </c>
    </row>
    <row r="80" spans="1:5">
      <c r="A80" s="230">
        <v>80</v>
      </c>
      <c r="B80" s="230" t="s">
        <v>123</v>
      </c>
      <c r="C80" s="230" t="s">
        <v>371</v>
      </c>
      <c r="D80" s="230" t="s">
        <v>372</v>
      </c>
      <c r="E80" s="230" t="s">
        <v>373</v>
      </c>
    </row>
    <row r="81" spans="1:5">
      <c r="A81" s="236">
        <v>81</v>
      </c>
      <c r="B81" s="230" t="s">
        <v>124</v>
      </c>
      <c r="C81" s="230" t="s">
        <v>374</v>
      </c>
      <c r="D81" s="230" t="s">
        <v>375</v>
      </c>
      <c r="E81" s="230" t="s">
        <v>376</v>
      </c>
    </row>
    <row r="82" spans="1:5">
      <c r="A82" s="230">
        <v>82</v>
      </c>
      <c r="B82" s="230" t="s">
        <v>125</v>
      </c>
      <c r="C82" s="230" t="s">
        <v>377</v>
      </c>
      <c r="D82" s="230" t="s">
        <v>378</v>
      </c>
      <c r="E82" s="230" t="s">
        <v>379</v>
      </c>
    </row>
    <row r="83" spans="1:5">
      <c r="A83" s="236">
        <v>83</v>
      </c>
      <c r="B83" s="230" t="s">
        <v>126</v>
      </c>
      <c r="C83" s="230" t="s">
        <v>380</v>
      </c>
      <c r="D83" s="230" t="s">
        <v>381</v>
      </c>
      <c r="E83" s="230" t="s">
        <v>382</v>
      </c>
    </row>
    <row r="84" spans="1:5">
      <c r="A84" s="230">
        <v>84</v>
      </c>
      <c r="B84" s="230" t="s">
        <v>127</v>
      </c>
      <c r="C84" s="230" t="s">
        <v>383</v>
      </c>
      <c r="D84" s="230" t="s">
        <v>384</v>
      </c>
      <c r="E84" s="230" t="s">
        <v>385</v>
      </c>
    </row>
    <row r="85" spans="1:5">
      <c r="A85" s="236">
        <v>85</v>
      </c>
      <c r="B85" s="230" t="s">
        <v>128</v>
      </c>
      <c r="C85" s="230" t="s">
        <v>386</v>
      </c>
      <c r="D85" s="230" t="s">
        <v>387</v>
      </c>
      <c r="E85" s="230" t="s">
        <v>388</v>
      </c>
    </row>
    <row r="86" spans="1:5">
      <c r="A86" s="230">
        <v>86</v>
      </c>
      <c r="B86" s="230" t="s">
        <v>129</v>
      </c>
      <c r="C86" s="230" t="s">
        <v>389</v>
      </c>
      <c r="D86" s="230" t="s">
        <v>390</v>
      </c>
      <c r="E86" s="230" t="s">
        <v>391</v>
      </c>
    </row>
    <row r="87" spans="1:5">
      <c r="A87" s="236">
        <v>87</v>
      </c>
      <c r="B87" s="230" t="s">
        <v>130</v>
      </c>
      <c r="C87" s="230" t="s">
        <v>392</v>
      </c>
      <c r="D87" s="230" t="s">
        <v>393</v>
      </c>
      <c r="E87" s="230" t="s">
        <v>394</v>
      </c>
    </row>
    <row r="88" spans="1:5">
      <c r="A88" s="230">
        <v>88</v>
      </c>
      <c r="B88" s="230" t="s">
        <v>131</v>
      </c>
      <c r="C88" s="230" t="s">
        <v>395</v>
      </c>
      <c r="D88" s="230" t="s">
        <v>396</v>
      </c>
      <c r="E88" s="230" t="s">
        <v>397</v>
      </c>
    </row>
    <row r="89" spans="1:5">
      <c r="A89" s="236">
        <v>89</v>
      </c>
      <c r="B89" s="230" t="s">
        <v>132</v>
      </c>
      <c r="C89" s="230" t="s">
        <v>606</v>
      </c>
      <c r="D89" s="230" t="s">
        <v>398</v>
      </c>
      <c r="E89" s="230" t="s">
        <v>399</v>
      </c>
    </row>
    <row r="90" spans="1:5">
      <c r="A90" s="230">
        <v>90</v>
      </c>
      <c r="B90" s="230" t="s">
        <v>603</v>
      </c>
      <c r="C90" s="230" t="s">
        <v>605</v>
      </c>
      <c r="D90" s="230" t="s">
        <v>400</v>
      </c>
      <c r="E90" s="230" t="s">
        <v>401</v>
      </c>
    </row>
    <row r="91" spans="1:5">
      <c r="A91" s="236">
        <v>91</v>
      </c>
      <c r="B91" s="230" t="s">
        <v>604</v>
      </c>
      <c r="C91" s="230" t="s">
        <v>607</v>
      </c>
      <c r="D91" s="230" t="s">
        <v>402</v>
      </c>
      <c r="E91" s="230" t="s">
        <v>403</v>
      </c>
    </row>
    <row r="92" spans="1:5">
      <c r="A92" s="230">
        <v>92</v>
      </c>
      <c r="B92" s="230" t="s">
        <v>601</v>
      </c>
      <c r="C92" s="230" t="s">
        <v>404</v>
      </c>
      <c r="D92" s="230" t="s">
        <v>405</v>
      </c>
      <c r="E92" s="230" t="s">
        <v>406</v>
      </c>
    </row>
    <row r="93" spans="1:5">
      <c r="A93" s="236">
        <v>93</v>
      </c>
      <c r="B93" s="230" t="s">
        <v>133</v>
      </c>
      <c r="C93" s="230" t="s">
        <v>133</v>
      </c>
      <c r="D93" s="230" t="s">
        <v>133</v>
      </c>
      <c r="E93" s="230" t="s">
        <v>407</v>
      </c>
    </row>
    <row r="94" spans="1:5">
      <c r="A94" s="230">
        <v>94</v>
      </c>
      <c r="B94" s="230" t="s">
        <v>134</v>
      </c>
      <c r="C94" s="230" t="s">
        <v>408</v>
      </c>
      <c r="D94" s="230" t="s">
        <v>409</v>
      </c>
      <c r="E94" s="230" t="s">
        <v>410</v>
      </c>
    </row>
    <row r="95" spans="1:5">
      <c r="A95" s="236">
        <v>95</v>
      </c>
      <c r="B95" s="230" t="s">
        <v>135</v>
      </c>
      <c r="C95" s="230" t="s">
        <v>411</v>
      </c>
      <c r="D95" s="230" t="s">
        <v>412</v>
      </c>
      <c r="E95" s="230" t="s">
        <v>413</v>
      </c>
    </row>
    <row r="96" spans="1:5">
      <c r="A96" s="230">
        <v>96</v>
      </c>
      <c r="B96" s="230" t="s">
        <v>136</v>
      </c>
      <c r="C96" s="230" t="s">
        <v>414</v>
      </c>
      <c r="D96" s="230" t="s">
        <v>415</v>
      </c>
      <c r="E96" s="230" t="s">
        <v>416</v>
      </c>
    </row>
    <row r="97" spans="1:5">
      <c r="A97" s="236">
        <v>97</v>
      </c>
      <c r="B97" s="230" t="s">
        <v>137</v>
      </c>
      <c r="C97" s="230" t="s">
        <v>417</v>
      </c>
      <c r="D97" s="230" t="s">
        <v>418</v>
      </c>
      <c r="E97" s="230" t="s">
        <v>419</v>
      </c>
    </row>
    <row r="98" spans="1:5">
      <c r="A98" s="230">
        <v>98</v>
      </c>
      <c r="B98" s="230" t="s">
        <v>138</v>
      </c>
      <c r="C98" s="230" t="s">
        <v>420</v>
      </c>
      <c r="D98" s="230" t="s">
        <v>421</v>
      </c>
      <c r="E98" s="230" t="s">
        <v>422</v>
      </c>
    </row>
    <row r="99" spans="1:5">
      <c r="A99" s="236">
        <v>99</v>
      </c>
      <c r="B99" s="230" t="s">
        <v>139</v>
      </c>
      <c r="C99" s="230" t="s">
        <v>423</v>
      </c>
      <c r="D99" s="230" t="s">
        <v>424</v>
      </c>
      <c r="E99" s="230" t="s">
        <v>425</v>
      </c>
    </row>
    <row r="100" spans="1:5">
      <c r="A100" s="230">
        <v>100</v>
      </c>
      <c r="B100" s="230" t="s">
        <v>140</v>
      </c>
      <c r="C100" s="230" t="s">
        <v>426</v>
      </c>
      <c r="D100" s="230" t="s">
        <v>427</v>
      </c>
      <c r="E100" s="230" t="s">
        <v>428</v>
      </c>
    </row>
    <row r="101" spans="1:5">
      <c r="A101" s="236">
        <v>101</v>
      </c>
      <c r="B101" s="230" t="s">
        <v>141</v>
      </c>
      <c r="C101" s="230" t="s">
        <v>429</v>
      </c>
      <c r="D101" s="230" t="s">
        <v>430</v>
      </c>
      <c r="E101" s="230" t="s">
        <v>431</v>
      </c>
    </row>
    <row r="102" spans="1:5">
      <c r="A102" s="230">
        <v>102</v>
      </c>
      <c r="B102" s="230" t="s">
        <v>106</v>
      </c>
      <c r="C102" s="230" t="s">
        <v>314</v>
      </c>
      <c r="D102" s="230" t="s">
        <v>315</v>
      </c>
      <c r="E102" s="230" t="s">
        <v>316</v>
      </c>
    </row>
    <row r="103" spans="1:5">
      <c r="A103" s="236">
        <v>103</v>
      </c>
      <c r="B103" s="230" t="s">
        <v>142</v>
      </c>
      <c r="C103" s="230" t="s">
        <v>432</v>
      </c>
      <c r="D103" s="230" t="s">
        <v>433</v>
      </c>
      <c r="E103" s="230" t="s">
        <v>434</v>
      </c>
    </row>
    <row r="104" spans="1:5">
      <c r="A104" s="230">
        <v>104</v>
      </c>
      <c r="B104" s="230" t="s">
        <v>107</v>
      </c>
      <c r="C104" s="230" t="s">
        <v>317</v>
      </c>
      <c r="D104" s="230" t="s">
        <v>318</v>
      </c>
      <c r="E104" s="230" t="s">
        <v>319</v>
      </c>
    </row>
    <row r="105" spans="1:5">
      <c r="A105" s="236">
        <v>105</v>
      </c>
      <c r="B105" s="230" t="s">
        <v>143</v>
      </c>
      <c r="C105" s="230" t="s">
        <v>435</v>
      </c>
      <c r="D105" s="230" t="s">
        <v>436</v>
      </c>
      <c r="E105" s="230" t="s">
        <v>437</v>
      </c>
    </row>
    <row r="106" spans="1:5">
      <c r="A106" s="230">
        <v>106</v>
      </c>
      <c r="B106" s="230" t="s">
        <v>144</v>
      </c>
      <c r="C106" s="230" t="s">
        <v>438</v>
      </c>
      <c r="D106" s="230" t="s">
        <v>439</v>
      </c>
      <c r="E106" s="230" t="s">
        <v>440</v>
      </c>
    </row>
    <row r="107" spans="1:5">
      <c r="A107" s="236">
        <v>107</v>
      </c>
      <c r="B107" s="230" t="s">
        <v>145</v>
      </c>
      <c r="C107" s="230" t="s">
        <v>441</v>
      </c>
      <c r="D107" s="230" t="s">
        <v>442</v>
      </c>
      <c r="E107" s="230" t="s">
        <v>443</v>
      </c>
    </row>
    <row r="108" spans="1:5">
      <c r="A108" s="230">
        <v>108</v>
      </c>
      <c r="B108" s="230" t="s">
        <v>146</v>
      </c>
      <c r="C108" s="230" t="s">
        <v>444</v>
      </c>
      <c r="D108" s="230" t="s">
        <v>445</v>
      </c>
      <c r="E108" s="230" t="s">
        <v>446</v>
      </c>
    </row>
    <row r="109" spans="1:5">
      <c r="A109" s="236">
        <v>109</v>
      </c>
      <c r="B109" s="230" t="s">
        <v>147</v>
      </c>
      <c r="C109" s="230" t="s">
        <v>447</v>
      </c>
      <c r="D109" s="230" t="s">
        <v>448</v>
      </c>
      <c r="E109" s="230" t="s">
        <v>449</v>
      </c>
    </row>
    <row r="110" spans="1:5">
      <c r="A110" s="230">
        <v>110</v>
      </c>
      <c r="B110" s="230" t="s">
        <v>617</v>
      </c>
      <c r="C110" s="230" t="s">
        <v>618</v>
      </c>
      <c r="D110" s="230" t="s">
        <v>619</v>
      </c>
      <c r="E110" s="230" t="s">
        <v>620</v>
      </c>
    </row>
    <row r="111" spans="1:5">
      <c r="A111" s="236">
        <v>111</v>
      </c>
      <c r="B111" s="230" t="s">
        <v>148</v>
      </c>
      <c r="C111" s="230" t="s">
        <v>450</v>
      </c>
      <c r="D111" s="230" t="s">
        <v>451</v>
      </c>
      <c r="E111" s="230" t="s">
        <v>452</v>
      </c>
    </row>
    <row r="112" spans="1:5">
      <c r="A112" s="230">
        <v>112</v>
      </c>
      <c r="B112" s="230" t="s">
        <v>149</v>
      </c>
      <c r="C112" s="230" t="s">
        <v>453</v>
      </c>
      <c r="D112" s="230" t="s">
        <v>454</v>
      </c>
      <c r="E112" s="230" t="s">
        <v>455</v>
      </c>
    </row>
    <row r="113" spans="1:5">
      <c r="A113" s="236">
        <v>113</v>
      </c>
      <c r="B113" s="230" t="s">
        <v>64</v>
      </c>
      <c r="C113" s="230" t="s">
        <v>456</v>
      </c>
      <c r="D113" s="230" t="s">
        <v>457</v>
      </c>
      <c r="E113" s="230" t="s">
        <v>458</v>
      </c>
    </row>
    <row r="114" spans="1:5">
      <c r="A114" s="230">
        <v>114</v>
      </c>
      <c r="B114" s="230" t="s">
        <v>150</v>
      </c>
      <c r="C114" s="230" t="s">
        <v>459</v>
      </c>
      <c r="D114" s="230" t="s">
        <v>460</v>
      </c>
      <c r="E114" s="230" t="s">
        <v>461</v>
      </c>
    </row>
    <row r="115" spans="1:5">
      <c r="A115" s="236">
        <v>115</v>
      </c>
      <c r="B115" s="230" t="s">
        <v>151</v>
      </c>
      <c r="C115" s="230" t="s">
        <v>462</v>
      </c>
      <c r="D115" s="230" t="s">
        <v>463</v>
      </c>
      <c r="E115" s="230" t="s">
        <v>464</v>
      </c>
    </row>
    <row r="116" spans="1:5">
      <c r="A116" s="230">
        <v>116</v>
      </c>
      <c r="B116" s="230" t="s">
        <v>598</v>
      </c>
      <c r="C116" s="230" t="s">
        <v>465</v>
      </c>
      <c r="D116" s="230" t="s">
        <v>466</v>
      </c>
      <c r="E116" s="230" t="s">
        <v>467</v>
      </c>
    </row>
    <row r="117" spans="1:5">
      <c r="A117" s="236">
        <v>117</v>
      </c>
      <c r="B117" s="230" t="s">
        <v>57</v>
      </c>
      <c r="C117" s="230" t="s">
        <v>468</v>
      </c>
      <c r="D117" s="230" t="s">
        <v>469</v>
      </c>
      <c r="E117" s="230" t="s">
        <v>470</v>
      </c>
    </row>
    <row r="118" spans="1:5">
      <c r="A118" s="230">
        <v>118</v>
      </c>
      <c r="B118" s="230" t="s">
        <v>599</v>
      </c>
      <c r="C118" s="230" t="s">
        <v>471</v>
      </c>
      <c r="D118" s="230" t="s">
        <v>472</v>
      </c>
      <c r="E118" s="230" t="s">
        <v>473</v>
      </c>
    </row>
    <row r="119" spans="1:5">
      <c r="A119" s="236">
        <v>119</v>
      </c>
      <c r="B119" s="230" t="s">
        <v>152</v>
      </c>
      <c r="C119" s="230" t="s">
        <v>474</v>
      </c>
      <c r="D119" s="230" t="s">
        <v>475</v>
      </c>
      <c r="E119" s="230" t="s">
        <v>476</v>
      </c>
    </row>
    <row r="120" spans="1:5">
      <c r="A120" s="230">
        <v>120</v>
      </c>
      <c r="B120" s="230" t="s">
        <v>561</v>
      </c>
      <c r="C120" s="230" t="s">
        <v>477</v>
      </c>
      <c r="D120" s="230" t="s">
        <v>478</v>
      </c>
      <c r="E120" s="230" t="s">
        <v>479</v>
      </c>
    </row>
    <row r="121" spans="1:5">
      <c r="A121" s="236">
        <v>121</v>
      </c>
      <c r="B121" s="230" t="s">
        <v>153</v>
      </c>
      <c r="C121" s="230" t="s">
        <v>480</v>
      </c>
      <c r="D121" s="230" t="s">
        <v>481</v>
      </c>
      <c r="E121" s="230" t="s">
        <v>482</v>
      </c>
    </row>
    <row r="122" spans="1:5">
      <c r="A122" s="230">
        <v>122</v>
      </c>
      <c r="B122" s="230" t="s">
        <v>154</v>
      </c>
      <c r="C122" s="230" t="s">
        <v>483</v>
      </c>
      <c r="D122" s="230" t="s">
        <v>484</v>
      </c>
      <c r="E122" s="230" t="s">
        <v>485</v>
      </c>
    </row>
    <row r="123" spans="1:5">
      <c r="A123" s="236">
        <v>123</v>
      </c>
      <c r="B123" s="230" t="s">
        <v>62</v>
      </c>
      <c r="C123" s="230" t="s">
        <v>486</v>
      </c>
      <c r="D123" s="230" t="s">
        <v>487</v>
      </c>
      <c r="E123" s="230" t="s">
        <v>488</v>
      </c>
    </row>
    <row r="124" spans="1:5">
      <c r="A124" s="230">
        <v>124</v>
      </c>
      <c r="B124" s="230" t="s">
        <v>155</v>
      </c>
      <c r="C124" s="230" t="s">
        <v>489</v>
      </c>
      <c r="D124" s="230" t="s">
        <v>490</v>
      </c>
      <c r="E124" s="230" t="s">
        <v>491</v>
      </c>
    </row>
    <row r="125" spans="1:5">
      <c r="A125" s="236">
        <v>125</v>
      </c>
      <c r="B125" s="230" t="s">
        <v>156</v>
      </c>
      <c r="C125" s="230" t="s">
        <v>492</v>
      </c>
      <c r="D125" s="230" t="s">
        <v>493</v>
      </c>
      <c r="E125" s="230" t="s">
        <v>494</v>
      </c>
    </row>
    <row r="126" spans="1:5">
      <c r="A126" s="230">
        <v>126</v>
      </c>
      <c r="B126" s="230" t="s">
        <v>562</v>
      </c>
      <c r="C126" s="230" t="s">
        <v>495</v>
      </c>
      <c r="D126" s="230" t="s">
        <v>496</v>
      </c>
      <c r="E126" s="230" t="s">
        <v>497</v>
      </c>
    </row>
    <row r="127" spans="1:5">
      <c r="A127" s="236">
        <v>127</v>
      </c>
      <c r="B127" s="230" t="s">
        <v>157</v>
      </c>
      <c r="C127" s="230" t="s">
        <v>498</v>
      </c>
      <c r="D127" s="230" t="s">
        <v>499</v>
      </c>
      <c r="E127" s="230" t="s">
        <v>500</v>
      </c>
    </row>
    <row r="128" spans="1:5">
      <c r="A128" s="230">
        <v>128</v>
      </c>
      <c r="B128" s="230" t="s">
        <v>158</v>
      </c>
      <c r="C128" s="230" t="s">
        <v>501</v>
      </c>
      <c r="D128" s="230" t="s">
        <v>502</v>
      </c>
      <c r="E128" s="230" t="s">
        <v>503</v>
      </c>
    </row>
    <row r="129" spans="1:5">
      <c r="A129" s="236">
        <v>129</v>
      </c>
      <c r="B129" s="230" t="s">
        <v>159</v>
      </c>
      <c r="C129" s="230" t="s">
        <v>504</v>
      </c>
      <c r="D129" s="230" t="s">
        <v>505</v>
      </c>
      <c r="E129" s="230" t="s">
        <v>506</v>
      </c>
    </row>
    <row r="130" spans="1:5">
      <c r="A130" s="230">
        <v>130</v>
      </c>
      <c r="B130" s="230" t="s">
        <v>160</v>
      </c>
      <c r="C130" s="230" t="s">
        <v>507</v>
      </c>
      <c r="D130" s="230" t="s">
        <v>508</v>
      </c>
      <c r="E130" s="230" t="s">
        <v>509</v>
      </c>
    </row>
    <row r="131" spans="1:5">
      <c r="A131" s="236">
        <v>131</v>
      </c>
      <c r="B131" s="230" t="s">
        <v>161</v>
      </c>
      <c r="C131" s="230" t="s">
        <v>510</v>
      </c>
      <c r="D131" s="230" t="s">
        <v>511</v>
      </c>
      <c r="E131" s="230" t="s">
        <v>512</v>
      </c>
    </row>
    <row r="132" spans="1:5">
      <c r="A132" s="230">
        <v>132</v>
      </c>
      <c r="B132" s="230" t="s">
        <v>162</v>
      </c>
      <c r="C132" s="230" t="s">
        <v>513</v>
      </c>
      <c r="D132" s="230" t="s">
        <v>514</v>
      </c>
      <c r="E132" s="230" t="s">
        <v>515</v>
      </c>
    </row>
    <row r="133" spans="1:5">
      <c r="A133" s="236">
        <v>133</v>
      </c>
      <c r="B133" s="230" t="s">
        <v>163</v>
      </c>
      <c r="C133" s="230" t="s">
        <v>516</v>
      </c>
      <c r="D133" s="230" t="s">
        <v>517</v>
      </c>
      <c r="E133" s="230" t="s">
        <v>518</v>
      </c>
    </row>
    <row r="134" spans="1:5">
      <c r="A134" s="230">
        <v>134</v>
      </c>
      <c r="B134" s="230" t="s">
        <v>164</v>
      </c>
      <c r="C134" s="230" t="s">
        <v>519</v>
      </c>
      <c r="D134" s="230" t="s">
        <v>520</v>
      </c>
      <c r="E134" s="230" t="s">
        <v>521</v>
      </c>
    </row>
    <row r="135" spans="1:5">
      <c r="A135" s="236">
        <v>135</v>
      </c>
      <c r="B135" s="230" t="s">
        <v>165</v>
      </c>
      <c r="C135" s="230" t="s">
        <v>522</v>
      </c>
      <c r="D135" s="230" t="s">
        <v>523</v>
      </c>
      <c r="E135" s="230" t="s">
        <v>524</v>
      </c>
    </row>
    <row r="136" spans="1:5">
      <c r="A136" s="230">
        <v>136</v>
      </c>
      <c r="B136" s="230" t="s">
        <v>166</v>
      </c>
      <c r="C136" s="230" t="s">
        <v>525</v>
      </c>
      <c r="D136" s="230" t="s">
        <v>526</v>
      </c>
      <c r="E136" s="230" t="s">
        <v>527</v>
      </c>
    </row>
    <row r="137" spans="1:5">
      <c r="A137" s="236">
        <v>137</v>
      </c>
      <c r="B137" s="230" t="s">
        <v>58</v>
      </c>
      <c r="C137" s="230" t="s">
        <v>528</v>
      </c>
      <c r="D137" s="230" t="s">
        <v>529</v>
      </c>
      <c r="E137" s="230" t="s">
        <v>530</v>
      </c>
    </row>
    <row r="138" spans="1:5">
      <c r="A138" s="230">
        <v>138</v>
      </c>
      <c r="B138" s="230" t="s">
        <v>167</v>
      </c>
      <c r="C138" s="230" t="s">
        <v>531</v>
      </c>
      <c r="D138" s="230" t="s">
        <v>532</v>
      </c>
      <c r="E138" s="230" t="s">
        <v>533</v>
      </c>
    </row>
    <row r="139" spans="1:5">
      <c r="A139" s="236">
        <v>139</v>
      </c>
      <c r="B139" s="230" t="s">
        <v>168</v>
      </c>
      <c r="C139" s="230" t="s">
        <v>534</v>
      </c>
      <c r="D139" s="230" t="s">
        <v>535</v>
      </c>
      <c r="E139" s="230" t="s">
        <v>536</v>
      </c>
    </row>
    <row r="140" spans="1:5">
      <c r="A140" s="230">
        <v>140</v>
      </c>
      <c r="B140" s="230" t="s">
        <v>609</v>
      </c>
      <c r="C140" s="230" t="s">
        <v>610</v>
      </c>
      <c r="D140" s="230" t="s">
        <v>611</v>
      </c>
      <c r="E140" s="230" t="s">
        <v>612</v>
      </c>
    </row>
    <row r="141" spans="1:5">
      <c r="A141" s="236">
        <v>141</v>
      </c>
      <c r="B141" s="230" t="s">
        <v>169</v>
      </c>
      <c r="C141" s="230" t="s">
        <v>537</v>
      </c>
      <c r="D141" s="230" t="s">
        <v>538</v>
      </c>
      <c r="E141" s="230" t="s">
        <v>539</v>
      </c>
    </row>
    <row r="142" spans="1:5">
      <c r="A142" s="230">
        <v>142</v>
      </c>
      <c r="B142" s="230" t="s">
        <v>170</v>
      </c>
      <c r="C142" s="230" t="s">
        <v>540</v>
      </c>
      <c r="D142" s="230" t="s">
        <v>541</v>
      </c>
      <c r="E142" s="230" t="s">
        <v>542</v>
      </c>
    </row>
    <row r="143" spans="1:5">
      <c r="A143" s="236">
        <v>143</v>
      </c>
      <c r="B143" s="230" t="s">
        <v>4</v>
      </c>
      <c r="C143" s="230" t="s">
        <v>4</v>
      </c>
      <c r="D143" s="230" t="s">
        <v>4</v>
      </c>
      <c r="E143" s="230" t="s">
        <v>543</v>
      </c>
    </row>
    <row r="144" spans="1:5">
      <c r="A144" s="230">
        <v>144</v>
      </c>
      <c r="B144" s="230" t="s">
        <v>3</v>
      </c>
      <c r="C144" s="230" t="s">
        <v>3</v>
      </c>
      <c r="D144" s="230" t="s">
        <v>3</v>
      </c>
      <c r="E144" s="230" t="s">
        <v>544</v>
      </c>
    </row>
    <row r="145" spans="1:5">
      <c r="A145" s="236">
        <v>145</v>
      </c>
      <c r="B145" s="230" t="s">
        <v>171</v>
      </c>
      <c r="C145" s="230" t="s">
        <v>171</v>
      </c>
      <c r="D145" s="230" t="s">
        <v>171</v>
      </c>
      <c r="E145" s="230" t="s">
        <v>545</v>
      </c>
    </row>
    <row r="146" spans="1:5">
      <c r="A146" s="230">
        <v>146</v>
      </c>
      <c r="B146" s="230" t="s">
        <v>5</v>
      </c>
      <c r="C146" s="230" t="s">
        <v>546</v>
      </c>
      <c r="D146" s="230" t="s">
        <v>547</v>
      </c>
      <c r="E146" s="230" t="s">
        <v>548</v>
      </c>
    </row>
    <row r="147" spans="1:5">
      <c r="A147" s="236">
        <v>147</v>
      </c>
      <c r="B147" s="230" t="s">
        <v>613</v>
      </c>
      <c r="C147" s="230" t="s">
        <v>614</v>
      </c>
      <c r="D147" s="230" t="s">
        <v>615</v>
      </c>
      <c r="E147" s="230" t="s">
        <v>616</v>
      </c>
    </row>
    <row r="148" spans="1:5">
      <c r="A148" s="230">
        <v>148</v>
      </c>
      <c r="B148" s="230" t="s">
        <v>172</v>
      </c>
      <c r="C148" s="230" t="s">
        <v>549</v>
      </c>
      <c r="D148" s="230" t="s">
        <v>550</v>
      </c>
      <c r="E148" s="230" t="s">
        <v>551</v>
      </c>
    </row>
    <row r="149" spans="1:5">
      <c r="A149" s="236">
        <v>149</v>
      </c>
      <c r="B149" s="230" t="s">
        <v>173</v>
      </c>
      <c r="C149" s="230" t="s">
        <v>552</v>
      </c>
      <c r="D149" s="230" t="s">
        <v>553</v>
      </c>
      <c r="E149" s="230" t="s">
        <v>554</v>
      </c>
    </row>
  </sheetData>
  <sheetProtection password="F7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32</vt:i4>
      </vt:variant>
    </vt:vector>
  </HeadingPairs>
  <TitlesOfParts>
    <vt:vector size="35" baseType="lpstr">
      <vt:lpstr>Kalkulator</vt:lpstr>
      <vt:lpstr>Ceny</vt:lpstr>
      <vt:lpstr>Opisy</vt:lpstr>
      <vt:lpstr>budynki</vt:lpstr>
      <vt:lpstr>cena</vt:lpstr>
      <vt:lpstr>ceny</vt:lpstr>
      <vt:lpstr>ceny_wełny</vt:lpstr>
      <vt:lpstr>data</vt:lpstr>
      <vt:lpstr>dopłaty_g</vt:lpstr>
      <vt:lpstr>dopłaty_tf</vt:lpstr>
      <vt:lpstr>farby</vt:lpstr>
      <vt:lpstr>grunty</vt:lpstr>
      <vt:lpstr>grupy</vt:lpstr>
      <vt:lpstr>izolacja</vt:lpstr>
      <vt:lpstr>Język</vt:lpstr>
      <vt:lpstr>Języki</vt:lpstr>
      <vt:lpstr>kleje_1</vt:lpstr>
      <vt:lpstr>kleje_2</vt:lpstr>
      <vt:lpstr>Kalkulator!Obszar_wydruku</vt:lpstr>
      <vt:lpstr>opisy</vt:lpstr>
      <vt:lpstr>produkty</vt:lpstr>
      <vt:lpstr>przegroda</vt:lpstr>
      <vt:lpstr>rodzaje_wełny</vt:lpstr>
      <vt:lpstr>rodzaje_wełny_lam</vt:lpstr>
      <vt:lpstr>siatki</vt:lpstr>
      <vt:lpstr>ściany</vt:lpstr>
      <vt:lpstr>tab_rodzaje_wełny</vt:lpstr>
      <vt:lpstr>tabela_budynki</vt:lpstr>
      <vt:lpstr>tabela_dopłaty_g</vt:lpstr>
      <vt:lpstr>tabela_dopłaty_tf</vt:lpstr>
      <vt:lpstr>tabela_ściany</vt:lpstr>
      <vt:lpstr>tynk</vt:lpstr>
      <vt:lpstr>tynki</vt:lpstr>
      <vt:lpstr>wełna</vt:lpstr>
      <vt:lpstr>wysokość</vt:lpstr>
    </vt:vector>
  </TitlesOfParts>
  <Company>Alpol Gips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 Zalewski</dc:creator>
  <cp:lastModifiedBy>szalewski</cp:lastModifiedBy>
  <cp:lastPrinted>2011-06-03T09:08:46Z</cp:lastPrinted>
  <dcterms:created xsi:type="dcterms:W3CDTF">2007-03-05T13:47:34Z</dcterms:created>
  <dcterms:modified xsi:type="dcterms:W3CDTF">2011-06-03T09:12:26Z</dcterms:modified>
</cp:coreProperties>
</file>